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035" tabRatio="568" activeTab="0"/>
  </bookViews>
  <sheets>
    <sheet name="Tétellista" sheetId="1" r:id="rId1"/>
    <sheet name="Processzor" sheetId="2" r:id="rId2"/>
    <sheet name="Osztó" sheetId="3" r:id="rId3"/>
    <sheet name="Helyiség típusok" sheetId="4" r:id="rId4"/>
    <sheet name="Osztó Vario PLUS" sheetId="5" r:id="rId5"/>
    <sheet name="Rendszer cikkszámok" sheetId="6" r:id="rId6"/>
  </sheets>
  <definedNames>
    <definedName name="_xlfn.IFNA" hidden="1">#NAME?</definedName>
    <definedName name="_xlnm.Print_Area" localSheetId="0">'Tétellista'!$A$1:$D$33</definedName>
  </definedNames>
  <calcPr fullCalcOnLoad="1"/>
</workbook>
</file>

<file path=xl/sharedStrings.xml><?xml version="1.0" encoding="utf-8"?>
<sst xmlns="http://schemas.openxmlformats.org/spreadsheetml/2006/main" count="214" uniqueCount="114">
  <si>
    <t>Minitec</t>
  </si>
  <si>
    <t>Milyen rendszer</t>
  </si>
  <si>
    <t>Hány m2</t>
  </si>
  <si>
    <t>Renovis</t>
  </si>
  <si>
    <t>Cikkszám</t>
  </si>
  <si>
    <t>Megnevezés</t>
  </si>
  <si>
    <t>Mennyiség</t>
  </si>
  <si>
    <t>Terméklista</t>
  </si>
  <si>
    <t>Siccus</t>
  </si>
  <si>
    <t>Classic</t>
  </si>
  <si>
    <t>Tacker</t>
  </si>
  <si>
    <t>Minitec Mennyezet</t>
  </si>
  <si>
    <t>légtelenítő</t>
  </si>
  <si>
    <t>golyóscsap</t>
  </si>
  <si>
    <t>szekrény I</t>
  </si>
  <si>
    <t>szekrény II</t>
  </si>
  <si>
    <t>szekrény III</t>
  </si>
  <si>
    <t>szekrény IV</t>
  </si>
  <si>
    <t>Körszám</t>
  </si>
  <si>
    <t>Tecto</t>
  </si>
  <si>
    <t>Egység</t>
  </si>
  <si>
    <t>m</t>
  </si>
  <si>
    <t>db</t>
  </si>
  <si>
    <r>
      <t>m</t>
    </r>
    <r>
      <rPr>
        <vertAlign val="superscript"/>
        <sz val="10"/>
        <rFont val="Arial"/>
        <family val="2"/>
      </rPr>
      <t>2</t>
    </r>
  </si>
  <si>
    <t>Összes rendszerelem amit az excel használ</t>
  </si>
  <si>
    <t>Ezeket a cikkszámokat hivatkozza tovább a tétellista. Ide a rendszerelemek táblázatból kerülnek át a cikkszámok.</t>
  </si>
  <si>
    <t>Rendszerelemek</t>
  </si>
  <si>
    <t>Adott körszámhoz tartozó, osztók és kiegészítőiknek a darabszáma</t>
  </si>
  <si>
    <t>Ez a két oszlop azért kell, hogy a tétellista megtalálja a szükséges cikkszámokat.</t>
  </si>
  <si>
    <t>Felületfűtési segédlet</t>
  </si>
  <si>
    <r>
      <t>m</t>
    </r>
    <r>
      <rPr>
        <vertAlign val="superscript"/>
        <sz val="10"/>
        <color indexed="30"/>
        <rFont val="Verdana"/>
        <family val="2"/>
      </rPr>
      <t>2</t>
    </r>
  </si>
  <si>
    <t>*A segédlet tartalma csak iránymutatásul szolgál! Az itt feltüntetett adatok ökölszámok alapján kerültek kalkulálásra, azok az épület adottságait figyelmen kívül hagyják! A termékek csak csomagolási egységre kerekítve rendelhetőek!</t>
  </si>
  <si>
    <t>Kitöltendő mezők:</t>
  </si>
  <si>
    <t>Uponor Comfort Plus cső 14x2,0 240m</t>
  </si>
  <si>
    <t>Uponor Comfort Plus cső 16x2,0 240m</t>
  </si>
  <si>
    <t>Uponor Comfort Plus cső 20x2,0 240m</t>
  </si>
  <si>
    <t>Uponor Comfort Plus 20×2.0 S9-es szigetelt cső 60m</t>
  </si>
  <si>
    <t>Uponor Minitec rendszerlemez 1100x700x12mm</t>
  </si>
  <si>
    <t xml:space="preserve">Uponor Minitec szegélyszigetelés 80x8 mm 20m </t>
  </si>
  <si>
    <t>Uponor Siccus rendszerlemez 1197x1050x25mm</t>
  </si>
  <si>
    <t xml:space="preserve">Uponor Siccus hőelosztó lemez </t>
  </si>
  <si>
    <t xml:space="preserve">Uponor Multi fólia PE, 0,2mm, 60x1,25m 75m2 </t>
  </si>
  <si>
    <t>Uponor Multi szegélyszigetelés 150x10 mm 50m - ragasztócsíkkal</t>
  </si>
  <si>
    <t>Uponor Renovis Panel 2×0,625m</t>
  </si>
  <si>
    <t>Uponor Renovis Panel 1,2×0,625m</t>
  </si>
  <si>
    <t>Uponor Q&amp;E toldó gyűrűvel 9,9</t>
  </si>
  <si>
    <t>Uponor Q&amp;E réz szűkítő 20x9,9</t>
  </si>
  <si>
    <t>Uponor Q&amp;E réz T 20x9,9x20</t>
  </si>
  <si>
    <t>Uponor Tacker Panel 30mm DES 30-2</t>
  </si>
  <si>
    <t>Uponor Tacker rögzítő tüske, 14-20mm, H=40mm</t>
  </si>
  <si>
    <t>Uponor Fix tartósín 9,9mm</t>
  </si>
  <si>
    <t>Uponor Vario PE-Xa Eurokónuszos csavarzat 14x2,0-3/4"</t>
  </si>
  <si>
    <t>Uponor Multi műanyag csőrögzítő ív 9,9</t>
  </si>
  <si>
    <t>Uponor Multi acél csővezető ív 14-16</t>
  </si>
  <si>
    <t>Uponor Multi acél csővezető ív 20</t>
  </si>
  <si>
    <t xml:space="preserve">Uponor Vario M osztó-gyűjtő FM 2X G3/4 </t>
  </si>
  <si>
    <t>Uponor Vario M osztó-gyűjtő FM 3X G3/4</t>
  </si>
  <si>
    <t>Uponor Vario M osztó-gyűjtő FM 4X G3/4</t>
  </si>
  <si>
    <t>Uponor Vario M osztó-gyűjtő FM 5X G3/4</t>
  </si>
  <si>
    <t>Uponor Vario M osztó-gyűjtő FM 6X G3/4</t>
  </si>
  <si>
    <t>Uponor Vario M osztó-gyűjtő FM 7X G3/4</t>
  </si>
  <si>
    <t>Uponor Vario M osztó-gyűjtő FM 8X G3/4</t>
  </si>
  <si>
    <t>Uponor Vario M osztó-gyűjtő FM 9X G3/4</t>
  </si>
  <si>
    <t>Uponor Vario M osztó-gyűjtő FM 10X G3/4</t>
  </si>
  <si>
    <t>Uponor Vario M osztó-gyűjtő FM 11X G3/4</t>
  </si>
  <si>
    <t>Uponor Vario M osztó-gyűjtő FM 12X G3/4</t>
  </si>
  <si>
    <t>Uponor Vario Plus automata légtelenítő 3/8"</t>
  </si>
  <si>
    <t>Uponor Vario golyóscsap km/bm 1"/1"</t>
  </si>
  <si>
    <t>Uponor Tecto rendszerlemez 1450x850x11mm</t>
  </si>
  <si>
    <t>TABS</t>
  </si>
  <si>
    <t>Uponor Vario PE-Xa Eurokónuszos csavarzat 16x2,0-3/4"</t>
  </si>
  <si>
    <t>Uponor Vario PE-Xa Eurokónuszos csavarzat 20x2,0-3/4"</t>
  </si>
  <si>
    <t>Uponor Teck védőcső 20-as csőre 28/23 fekete 50m</t>
  </si>
  <si>
    <t>Uponor födémátvezető elem</t>
  </si>
  <si>
    <t>Thermatop</t>
  </si>
  <si>
    <t>Uponor Comfort Plus cső 17x2,0 240m</t>
  </si>
  <si>
    <t>Uponor Minitec Comfort cső 9.9x1.1 240m</t>
  </si>
  <si>
    <t>Csomagolási egység</t>
  </si>
  <si>
    <t>Uponor Minitec szorítógyűrűs csavarzat 9,9×1,1-3/4"</t>
  </si>
  <si>
    <t>alapkészlet</t>
  </si>
  <si>
    <t>Bekötő könyök</t>
  </si>
  <si>
    <t>pár</t>
  </si>
  <si>
    <t>Uponor Thermatop M Panel 2,55x0,277m</t>
  </si>
  <si>
    <t>Uponor S-Press PLUS PPSU T 20-16-20</t>
  </si>
  <si>
    <t>Uponor S-Press PLUS PPSU szűkítő 20-16</t>
  </si>
  <si>
    <t>Uponor S-Press PLUS PPSU toldó 16-16</t>
  </si>
  <si>
    <t>Uponor Uni Pipe PLUS szigetelt ötrétegű cső S6 20x2,25 75m</t>
  </si>
  <si>
    <t xml:space="preserve">Uponor Vario Plus osztó-gyűjtő áramlásmérővel 1×3/4" </t>
  </si>
  <si>
    <t xml:space="preserve">Uponor Vario Plus osztó-gyűjtő áramlásmérővel 3×3/4" </t>
  </si>
  <si>
    <t xml:space="preserve">Uponor Vario Plus osztó-gyűjtő áramlásmérővel 4×3/4" </t>
  </si>
  <si>
    <t xml:space="preserve">Uponor Vario Plus osztó-gyűjtő áramlásmérővel 6×3/4" </t>
  </si>
  <si>
    <t>Uponor Vario Plus osztó-gyűjtő alapkészlet</t>
  </si>
  <si>
    <t>Uponor Teck védőcső 16-os csőre 25/20 fekete 50m</t>
  </si>
  <si>
    <t>Uponor Vario Plus osztó-gyűjtő könyök</t>
  </si>
  <si>
    <t>Uponor Vario C osztószekrény 535x649x110mm süllyesztett</t>
  </si>
  <si>
    <t>Uponor Vario C osztószekrény 680x649x110mm süllyesztett</t>
  </si>
  <si>
    <t>Uponor Vario C osztószekrény 835x649x110mm süllyesztett</t>
  </si>
  <si>
    <t>Uponor Vario C osztószekrény 1035x649x110mm süllyesztett</t>
  </si>
  <si>
    <t>Szoba felületek</t>
  </si>
  <si>
    <t>Rendszer típusa</t>
  </si>
  <si>
    <t>Helyiség típusa, alapterülete</t>
  </si>
  <si>
    <t>Szoba</t>
  </si>
  <si>
    <t>Nappali</t>
  </si>
  <si>
    <t>Konyha</t>
  </si>
  <si>
    <t>Garázs</t>
  </si>
  <si>
    <t>Fürdő</t>
  </si>
  <si>
    <t>Háztartási helyiség</t>
  </si>
  <si>
    <t>Uponor Vario osztószekrény 555×820×160mm falon kívül</t>
  </si>
  <si>
    <t>Uponor Vario osztószekrény 705×820×160mm falon kívül</t>
  </si>
  <si>
    <t>Uponor Vario osztószekrény 785×820×160mm falon kívül</t>
  </si>
  <si>
    <t>Uponor Vario osztószekrény 950×820×160mm falon kívül</t>
  </si>
  <si>
    <t>Uponor Vario C osztószekrény 1135x649x110mm süllyesztett</t>
  </si>
  <si>
    <t>Körszámok számításához használatos segédtábla. Ahol az osztás változó ott a képlet is más.</t>
  </si>
  <si>
    <t>*Minitec rendszer max 125m2-ig számítható, minden más 300m2-ig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</si>
</sst>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%"/>
    <numFmt numFmtId="167" formatCode="0.000%"/>
    <numFmt numFmtId="168" formatCode="0.0000"/>
    <numFmt numFmtId="169" formatCode="0.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[$-40E]yyyy\.\ mmmm\ d\."/>
    <numFmt numFmtId="175" formatCode="0.0"/>
    <numFmt numFmtId="176" formatCode="0.00000"/>
    <numFmt numFmtId="177" formatCode="#,##0.0"/>
    <numFmt numFmtId="178" formatCode="0.000000"/>
  </numFmts>
  <fonts count="65">
    <font>
      <sz val="10"/>
      <name val="Arial"/>
      <family val="0"/>
    </font>
    <font>
      <sz val="9"/>
      <name val="Verdana"/>
      <family val="2"/>
    </font>
    <font>
      <sz val="10"/>
      <name val="Verdana"/>
      <family val="2"/>
    </font>
    <font>
      <sz val="11"/>
      <name val="Verdana"/>
      <family val="2"/>
    </font>
    <font>
      <vertAlign val="superscript"/>
      <sz val="10"/>
      <name val="Arial"/>
      <family val="2"/>
    </font>
    <font>
      <i/>
      <sz val="10"/>
      <name val="Verdana"/>
      <family val="2"/>
    </font>
    <font>
      <vertAlign val="superscript"/>
      <sz val="10"/>
      <color indexed="30"/>
      <name val="Verdana"/>
      <family val="2"/>
    </font>
    <font>
      <i/>
      <sz val="8"/>
      <name val="Verdana"/>
      <family val="2"/>
    </font>
    <font>
      <b/>
      <sz val="14"/>
      <name val="Verdana"/>
      <family val="2"/>
    </font>
    <font>
      <i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Verdana"/>
      <family val="2"/>
    </font>
    <font>
      <i/>
      <sz val="10"/>
      <color indexed="23"/>
      <name val="Arial"/>
      <family val="2"/>
    </font>
    <font>
      <b/>
      <sz val="9"/>
      <color indexed="9"/>
      <name val="Verdana"/>
      <family val="2"/>
    </font>
    <font>
      <b/>
      <i/>
      <sz val="10"/>
      <color indexed="30"/>
      <name val="Verdana"/>
      <family val="2"/>
    </font>
    <font>
      <sz val="11"/>
      <color indexed="30"/>
      <name val="Verdana"/>
      <family val="2"/>
    </font>
    <font>
      <i/>
      <sz val="11"/>
      <color indexed="8"/>
      <name val="Verdana"/>
      <family val="2"/>
    </font>
    <font>
      <i/>
      <sz val="10"/>
      <color indexed="8"/>
      <name val="Verdana"/>
      <family val="2"/>
    </font>
    <font>
      <sz val="8"/>
      <name val="Segoe UI"/>
      <family val="2"/>
    </font>
    <font>
      <i/>
      <sz val="18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Verdana"/>
      <family val="2"/>
    </font>
    <font>
      <i/>
      <sz val="10"/>
      <color theme="0" tint="-0.4999699890613556"/>
      <name val="Arial"/>
      <family val="2"/>
    </font>
    <font>
      <b/>
      <sz val="9"/>
      <color theme="0"/>
      <name val="Verdana"/>
      <family val="2"/>
    </font>
    <font>
      <i/>
      <sz val="11"/>
      <color theme="1"/>
      <name val="Verdana"/>
      <family val="2"/>
    </font>
    <font>
      <i/>
      <sz val="10"/>
      <color theme="1"/>
      <name val="Verdana"/>
      <family val="2"/>
    </font>
    <font>
      <b/>
      <i/>
      <sz val="10"/>
      <color rgb="FF0062C8"/>
      <name val="Verdana"/>
      <family val="2"/>
    </font>
    <font>
      <sz val="11"/>
      <color rgb="FF0062C8"/>
      <name val="Verdana"/>
      <family val="2"/>
    </font>
    <font>
      <i/>
      <sz val="18"/>
      <color rgb="FF0062C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2C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4" tint="-0.4999699890613556"/>
      </right>
      <top>
        <color indexed="63"/>
      </top>
      <bottom>
        <color indexed="63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1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5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34" borderId="0" xfId="0" applyFont="1" applyFill="1" applyAlignment="1">
      <alignment/>
    </xf>
    <xf numFmtId="0" fontId="60" fillId="34" borderId="0" xfId="0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57" fillId="0" borderId="12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62" fillId="34" borderId="0" xfId="0" applyFont="1" applyFill="1" applyAlignment="1">
      <alignment horizontal="center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63" fillId="34" borderId="14" xfId="0" applyFont="1" applyFill="1" applyBorder="1" applyAlignment="1">
      <alignment horizontal="center" vertical="center"/>
    </xf>
    <xf numFmtId="0" fontId="63" fillId="34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4" fillId="34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16" xfId="0" applyFont="1" applyBorder="1" applyAlignment="1">
      <alignment/>
    </xf>
    <xf numFmtId="0" fontId="63" fillId="34" borderId="0" xfId="0" applyFont="1" applyFill="1" applyBorder="1" applyAlignment="1">
      <alignment vertical="center"/>
    </xf>
    <xf numFmtId="0" fontId="8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4"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ill>
        <patternFill>
          <bgColor theme="4" tint="0.7999799847602844"/>
        </patternFill>
      </fill>
    </dxf>
  </dxfs>
  <tableStyles count="1" defaultTableStyle="TableStyleMedium9" defaultPivotStyle="PivotStyleLight16">
    <tableStyle name="Ajánlat" pivot="0" count="1">
      <tableStyleElement type="secondRowStripe" dxfId="2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0</xdr:row>
      <xdr:rowOff>123825</xdr:rowOff>
    </xdr:from>
    <xdr:to>
      <xdr:col>1</xdr:col>
      <xdr:colOff>3800475</xdr:colOff>
      <xdr:row>7</xdr:row>
      <xdr:rowOff>47625</xdr:rowOff>
    </xdr:to>
    <xdr:pic>
      <xdr:nvPicPr>
        <xdr:cNvPr id="1" name="Picture 3" descr="uponor_rgb_small"/>
        <xdr:cNvPicPr preferRelativeResize="1">
          <a:picLocks noChangeAspect="1"/>
        </xdr:cNvPicPr>
      </xdr:nvPicPr>
      <xdr:blipFill>
        <a:blip r:embed="rId1"/>
        <a:srcRect l="9999" t="23330" r="9999" b="23330"/>
        <a:stretch>
          <a:fillRect/>
        </a:stretch>
      </xdr:blipFill>
      <xdr:spPr>
        <a:xfrm>
          <a:off x="1323975" y="123825"/>
          <a:ext cx="3143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20" name="T?bl?zat120" displayName="T?bl?zat120" ref="A14:E30" comment="" totalsRowShown="0">
  <autoFilter ref="A14:E30"/>
  <tableColumns count="5">
    <tableColumn id="1" name="Cikkszám"/>
    <tableColumn id="2" name="Megnevezés"/>
    <tableColumn id="3" name="Mennyiség"/>
    <tableColumn id="4" name="Egység"/>
    <tableColumn id="5" name="Csomagolási egység"/>
  </tableColumns>
  <tableStyleInfo name="Aj?nla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3"/>
  <sheetViews>
    <sheetView tabSelected="1" view="pageBreakPreview" zoomScale="90" zoomScaleSheetLayoutView="90" zoomScalePageLayoutView="0" workbookViewId="0" topLeftCell="A1">
      <selection activeCell="E41" sqref="E41"/>
    </sheetView>
  </sheetViews>
  <sheetFormatPr defaultColWidth="9.140625" defaultRowHeight="12.75"/>
  <cols>
    <col min="1" max="1" width="10.00390625" style="9" customWidth="1"/>
    <col min="2" max="2" width="58.57421875" style="9" customWidth="1"/>
    <col min="3" max="3" width="11.00390625" style="9" customWidth="1"/>
    <col min="4" max="4" width="9.7109375" style="9" customWidth="1"/>
    <col min="5" max="5" width="23.7109375" style="9" bestFit="1" customWidth="1"/>
    <col min="6" max="6" width="9.140625" style="9" customWidth="1"/>
    <col min="7" max="7" width="21.7109375" style="9" bestFit="1" customWidth="1"/>
    <col min="8" max="11" width="9.140625" style="9" customWidth="1"/>
    <col min="12" max="12" width="12.421875" style="9" bestFit="1" customWidth="1"/>
    <col min="13" max="16384" width="9.140625" style="9" customWidth="1"/>
  </cols>
  <sheetData>
    <row r="1" spans="1:4" ht="12.75">
      <c r="A1" s="19"/>
      <c r="B1" s="19"/>
      <c r="C1" s="19"/>
      <c r="D1" s="19"/>
    </row>
    <row r="2" spans="1:4" ht="12.75">
      <c r="A2" s="19"/>
      <c r="B2" s="19"/>
      <c r="C2" s="19"/>
      <c r="D2" s="19"/>
    </row>
    <row r="3" spans="1:4" ht="12.75">
      <c r="A3" s="19"/>
      <c r="B3" s="19"/>
      <c r="C3" s="19"/>
      <c r="D3" s="19"/>
    </row>
    <row r="4" spans="1:4" ht="12.75">
      <c r="A4" s="19"/>
      <c r="B4" s="19"/>
      <c r="C4" s="19"/>
      <c r="D4" s="19"/>
    </row>
    <row r="5" spans="1:4" ht="12.75">
      <c r="A5" s="19"/>
      <c r="B5" s="19"/>
      <c r="C5" s="19"/>
      <c r="D5" s="19"/>
    </row>
    <row r="6" spans="1:4" ht="12.75">
      <c r="A6" s="19"/>
      <c r="B6" s="19"/>
      <c r="C6" s="19"/>
      <c r="D6" s="19"/>
    </row>
    <row r="7" spans="1:4" ht="12.75">
      <c r="A7" s="19"/>
      <c r="B7" s="19"/>
      <c r="C7" s="19"/>
      <c r="D7" s="19"/>
    </row>
    <row r="8" spans="1:4" ht="12.75">
      <c r="A8" s="19"/>
      <c r="B8" s="19"/>
      <c r="C8" s="19"/>
      <c r="D8" s="19"/>
    </row>
    <row r="9" spans="1:4" ht="12.75">
      <c r="A9" s="30" t="s">
        <v>29</v>
      </c>
      <c r="B9" s="30"/>
      <c r="C9" s="30"/>
      <c r="D9" s="30"/>
    </row>
    <row r="10" spans="1:4" ht="12.75">
      <c r="A10" s="30"/>
      <c r="B10" s="30"/>
      <c r="C10" s="30"/>
      <c r="D10" s="30"/>
    </row>
    <row r="11" spans="1:4" ht="12.75">
      <c r="A11" s="24"/>
      <c r="B11" s="24"/>
      <c r="C11" s="24"/>
      <c r="D11" s="24"/>
    </row>
    <row r="12" spans="1:4" ht="12.75">
      <c r="A12" s="24">
        <f>CONCATENATE(L15,J21)</f>
      </c>
      <c r="B12" s="24"/>
      <c r="C12" s="24"/>
      <c r="D12" s="24"/>
    </row>
    <row r="13" spans="1:4" ht="12.75">
      <c r="A13" s="19"/>
      <c r="B13" s="19"/>
      <c r="C13" s="19"/>
      <c r="D13" s="19"/>
    </row>
    <row r="14" spans="1:12" ht="18">
      <c r="A14" s="16" t="s">
        <v>4</v>
      </c>
      <c r="B14" s="16" t="s">
        <v>5</v>
      </c>
      <c r="C14" s="16" t="s">
        <v>6</v>
      </c>
      <c r="D14" s="16" t="s">
        <v>20</v>
      </c>
      <c r="E14" s="17" t="s">
        <v>77</v>
      </c>
      <c r="G14" s="26" t="s">
        <v>32</v>
      </c>
      <c r="H14" s="26"/>
      <c r="I14" s="36"/>
      <c r="L14" s="15"/>
    </row>
    <row r="15" spans="1:13" ht="14.25">
      <c r="A15" s="1">
        <f>Processzor!A7</f>
        <v>1005261</v>
      </c>
      <c r="B15" s="1" t="str">
        <f>Processzor!B7</f>
        <v>Uponor Minitec rendszerlemez 1100x700x12mm</v>
      </c>
      <c r="C15" s="14">
        <f>Processzor!C7</f>
        <v>0</v>
      </c>
      <c r="D15" s="14" t="str">
        <f>Processzor!D7</f>
        <v>m2</v>
      </c>
      <c r="E15" s="18">
        <f>Processzor!E7</f>
        <v>15.4</v>
      </c>
      <c r="L15" s="20"/>
      <c r="M15" s="21"/>
    </row>
    <row r="16" spans="1:9" ht="14.25">
      <c r="A16" s="1">
        <f>Processzor!A8</f>
        <v>1063289</v>
      </c>
      <c r="B16" s="1" t="str">
        <f>Processzor!B8</f>
        <v>Uponor Minitec Comfort cső 9.9x1.1 240m</v>
      </c>
      <c r="C16" s="14">
        <f>Processzor!C8</f>
        <v>0</v>
      </c>
      <c r="D16" s="14" t="str">
        <f>Processzor!D8</f>
        <v>m</v>
      </c>
      <c r="E16" s="18">
        <f>Processzor!E8</f>
        <v>240</v>
      </c>
      <c r="G16" s="29" t="s">
        <v>99</v>
      </c>
      <c r="H16" s="29"/>
      <c r="I16" s="31"/>
    </row>
    <row r="17" spans="1:5" ht="13.5" thickBot="1">
      <c r="A17" s="1">
        <f>Processzor!A9</f>
        <v>1005267</v>
      </c>
      <c r="B17" s="1" t="str">
        <f>Processzor!B9</f>
        <v>Uponor Minitec szegélyszigetelés 80x8 mm 20m </v>
      </c>
      <c r="C17" s="14">
        <f>Processzor!C9</f>
        <v>0</v>
      </c>
      <c r="D17" s="14" t="str">
        <f>Processzor!D9</f>
        <v>m</v>
      </c>
      <c r="E17" s="18">
        <f>Processzor!E9</f>
        <v>20</v>
      </c>
    </row>
    <row r="18" spans="1:9" ht="15" thickBot="1">
      <c r="A18" s="1">
        <f>Processzor!A10</f>
        <v>1013426</v>
      </c>
      <c r="B18" s="1" t="str">
        <f>Processzor!B10</f>
        <v>Uponor Minitec szorítógyűrűs csavarzat 9,9×1,1-3/4"</v>
      </c>
      <c r="C18" s="14">
        <f>Processzor!C10</f>
        <v>0</v>
      </c>
      <c r="D18" s="14" t="str">
        <f>Processzor!D10</f>
        <v>db</v>
      </c>
      <c r="E18" s="18">
        <f>Processzor!E10</f>
        <v>12</v>
      </c>
      <c r="G18" s="27" t="s">
        <v>0</v>
      </c>
      <c r="H18" s="28"/>
      <c r="I18" s="35"/>
    </row>
    <row r="19" spans="1:5" ht="12.75">
      <c r="A19" s="1">
        <f>Processzor!A11</f>
        <v>1063781</v>
      </c>
      <c r="B19" s="1" t="str">
        <f>Processzor!B11</f>
        <v>Uponor Multi műanyag csőrögzítő ív 9,9</v>
      </c>
      <c r="C19" s="14">
        <f>Processzor!C11</f>
        <v>0</v>
      </c>
      <c r="D19" s="14" t="str">
        <f>Processzor!D11</f>
        <v>db</v>
      </c>
      <c r="E19" s="18">
        <f>Processzor!E11</f>
        <v>50</v>
      </c>
    </row>
    <row r="20" spans="1:9" ht="14.25">
      <c r="A20" s="1">
        <f>Processzor!A12</f>
      </c>
      <c r="B20" s="1">
        <f>Processzor!B12</f>
      </c>
      <c r="C20" s="14">
        <f>Processzor!C12</f>
      </c>
      <c r="D20" s="14">
        <f>Processzor!D12</f>
      </c>
      <c r="E20" s="18">
        <f>Processzor!E12</f>
      </c>
      <c r="G20" s="29" t="s">
        <v>100</v>
      </c>
      <c r="H20" s="29"/>
      <c r="I20" s="3"/>
    </row>
    <row r="21" spans="1:10" ht="13.5" thickBot="1">
      <c r="A21" s="1">
        <f>Processzor!A13</f>
      </c>
      <c r="B21" s="1">
        <f>Processzor!B13</f>
      </c>
      <c r="C21" s="1">
        <f>Processzor!C13</f>
      </c>
      <c r="D21" s="1">
        <f>Processzor!D13</f>
      </c>
      <c r="E21" s="18">
        <f>Processzor!E13</f>
      </c>
      <c r="J21" s="10"/>
    </row>
    <row r="22" spans="1:9" ht="15.75" thickBot="1">
      <c r="A22" s="1">
        <f>Processzor!A14</f>
        <v>1038166</v>
      </c>
      <c r="B22" s="1" t="str">
        <f>Processzor!B14</f>
        <v>Uponor Vario Plus automata légtelenítő 3/8"</v>
      </c>
      <c r="C22" s="1">
        <f>Processzor!C14</f>
        <v>0</v>
      </c>
      <c r="D22" s="1" t="str">
        <f>Processzor!D14</f>
        <v>db</v>
      </c>
      <c r="E22" s="18">
        <f>Processzor!E14</f>
        <v>1</v>
      </c>
      <c r="G22" s="22" t="s">
        <v>101</v>
      </c>
      <c r="H22" s="32"/>
      <c r="I22" s="10" t="s">
        <v>30</v>
      </c>
    </row>
    <row r="23" spans="1:9" ht="15.75" thickBot="1">
      <c r="A23" s="1">
        <f>Processzor!A15</f>
        <v>1059132</v>
      </c>
      <c r="B23" s="1" t="str">
        <f>Processzor!B15</f>
        <v>Uponor Vario golyóscsap km/bm 1"/1"</v>
      </c>
      <c r="C23" s="1">
        <f>Processzor!C15</f>
        <v>0</v>
      </c>
      <c r="D23" s="1" t="str">
        <f>Processzor!D15</f>
        <v>db</v>
      </c>
      <c r="E23" s="18">
        <f>Processzor!E15</f>
        <v>1</v>
      </c>
      <c r="G23" s="22" t="s">
        <v>101</v>
      </c>
      <c r="H23" s="33"/>
      <c r="I23" s="10" t="s">
        <v>30</v>
      </c>
    </row>
    <row r="24" spans="1:9" ht="15.75" thickBot="1">
      <c r="A24" s="1">
        <f>Processzor!A16</f>
        <v>1032702</v>
      </c>
      <c r="B24" s="1" t="str">
        <f>Processzor!B16</f>
        <v>Uponor Vario Plus osztó-gyűjtő könyök</v>
      </c>
      <c r="C24" s="1">
        <f>Processzor!C16</f>
        <v>0</v>
      </c>
      <c r="D24" s="1" t="str">
        <f>Processzor!D16</f>
        <v>pár</v>
      </c>
      <c r="E24" s="18">
        <f>Processzor!E16</f>
        <v>1</v>
      </c>
      <c r="G24" s="22" t="s">
        <v>101</v>
      </c>
      <c r="H24" s="34"/>
      <c r="I24" s="10" t="s">
        <v>30</v>
      </c>
    </row>
    <row r="25" spans="1:9" ht="15.75" thickBot="1">
      <c r="A25" s="1">
        <f>Processzor!A17</f>
        <v>1009209</v>
      </c>
      <c r="B25" s="1" t="str">
        <f>Processzor!B17</f>
        <v>Uponor Vario Plus osztó-gyűjtő alapkészlet</v>
      </c>
      <c r="C25" s="1">
        <f>Processzor!C17</f>
        <v>0</v>
      </c>
      <c r="D25" s="1" t="str">
        <f>Processzor!D17</f>
        <v>db</v>
      </c>
      <c r="E25" s="18">
        <f>Processzor!E17</f>
        <v>1</v>
      </c>
      <c r="G25" s="22" t="s">
        <v>101</v>
      </c>
      <c r="H25" s="32"/>
      <c r="I25" s="10" t="s">
        <v>30</v>
      </c>
    </row>
    <row r="26" spans="1:9" ht="15.75" thickBot="1">
      <c r="A26" s="1">
        <f>Processzor!A18</f>
      </c>
      <c r="B26" s="1">
        <f>Processzor!B18</f>
      </c>
      <c r="C26" s="1">
        <f>Processzor!C18</f>
      </c>
      <c r="D26" s="1">
        <f>Processzor!D18</f>
      </c>
      <c r="E26" s="18">
        <f>Processzor!E18</f>
      </c>
      <c r="G26" s="22" t="s">
        <v>101</v>
      </c>
      <c r="H26" s="32"/>
      <c r="I26" s="10" t="s">
        <v>30</v>
      </c>
    </row>
    <row r="27" spans="1:9" ht="15.75" thickBot="1">
      <c r="A27" s="1">
        <f>Processzor!A19</f>
      </c>
      <c r="B27" s="1">
        <f>Processzor!B19</f>
      </c>
      <c r="C27" s="1">
        <f>Processzor!C19</f>
      </c>
      <c r="D27" s="1">
        <f>Processzor!D19</f>
      </c>
      <c r="E27" s="18">
        <f>Processzor!E19</f>
      </c>
      <c r="G27" s="23" t="s">
        <v>101</v>
      </c>
      <c r="H27" s="33"/>
      <c r="I27" s="10" t="s">
        <v>30</v>
      </c>
    </row>
    <row r="28" spans="1:5" ht="12.75">
      <c r="A28" s="1">
        <f>Processzor!A20</f>
      </c>
      <c r="B28" s="1">
        <f>Processzor!B20</f>
      </c>
      <c r="C28" s="1">
        <f>Processzor!C20</f>
      </c>
      <c r="D28" s="1">
        <f>Processzor!D20</f>
      </c>
      <c r="E28" s="18">
        <f>Processzor!E20</f>
      </c>
    </row>
    <row r="29" spans="1:7" ht="12.75">
      <c r="A29" s="1">
        <f>Processzor!A21</f>
      </c>
      <c r="B29" s="1">
        <f>Processzor!B21</f>
      </c>
      <c r="C29" s="1">
        <f>Processzor!C21</f>
      </c>
      <c r="D29" s="1">
        <f>Processzor!D21</f>
      </c>
      <c r="E29" s="18">
        <f>Processzor!E21</f>
      </c>
      <c r="G29" s="15" t="s">
        <v>113</v>
      </c>
    </row>
    <row r="30" spans="1:5" ht="12.75">
      <c r="A30" s="1">
        <f>Processzor!A22</f>
      </c>
      <c r="B30" s="1">
        <f>Processzor!B22</f>
      </c>
      <c r="C30" s="1">
        <f>Processzor!C22</f>
      </c>
      <c r="D30" s="1">
        <f>Processzor!D22</f>
      </c>
      <c r="E30" s="18">
        <f>Processzor!E22</f>
      </c>
    </row>
    <row r="31" spans="1:5" ht="12.75">
      <c r="A31" s="1"/>
      <c r="B31" s="1"/>
      <c r="C31" s="1"/>
      <c r="D31" s="1"/>
      <c r="E31" s="18"/>
    </row>
    <row r="32" spans="1:4" ht="18.75" customHeight="1">
      <c r="A32" s="25" t="s">
        <v>31</v>
      </c>
      <c r="B32" s="25"/>
      <c r="C32" s="25"/>
      <c r="D32" s="25"/>
    </row>
    <row r="33" spans="1:4" ht="18.75" customHeight="1">
      <c r="A33" s="25"/>
      <c r="B33" s="25"/>
      <c r="C33" s="25"/>
      <c r="D33" s="25"/>
    </row>
  </sheetData>
  <sheetProtection/>
  <mergeCells count="8">
    <mergeCell ref="A9:D10"/>
    <mergeCell ref="G18:H18"/>
    <mergeCell ref="G20:H20"/>
    <mergeCell ref="G16:H16"/>
    <mergeCell ref="G14:H14"/>
    <mergeCell ref="A11:D11"/>
    <mergeCell ref="A12:D12"/>
    <mergeCell ref="A32:D33"/>
  </mergeCells>
  <dataValidations count="1">
    <dataValidation type="list" allowBlank="1" showInputMessage="1" showErrorMessage="1" sqref="G18">
      <formula1>"Minitec, Siccus, Classic, Tecto, Tacker, Minitec mennyezet,TABS"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34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14.28125" style="0" customWidth="1"/>
    <col min="2" max="2" width="49.57421875" style="0" customWidth="1"/>
    <col min="3" max="3" width="10.00390625" style="0" customWidth="1"/>
    <col min="4" max="5" width="9.140625" style="0" customWidth="1"/>
    <col min="6" max="6" width="10.28125" style="0" customWidth="1"/>
    <col min="7" max="8" width="9.140625" style="0" customWidth="1"/>
  </cols>
  <sheetData>
    <row r="1" spans="1:2" ht="12.75">
      <c r="A1" t="s">
        <v>1</v>
      </c>
      <c r="B1" t="str">
        <f>Tétellista!G18</f>
        <v>Minitec</v>
      </c>
    </row>
    <row r="3" spans="1:2" ht="12.75">
      <c r="A3" t="s">
        <v>2</v>
      </c>
      <c r="B3" s="6">
        <f>SUM(Tétellista!H22:I27)</f>
        <v>0</v>
      </c>
    </row>
    <row r="4" ht="12.75">
      <c r="I4" t="s">
        <v>98</v>
      </c>
    </row>
    <row r="5" ht="12.75">
      <c r="A5" t="s">
        <v>7</v>
      </c>
    </row>
    <row r="6" spans="1:10" ht="12.75">
      <c r="A6" t="s">
        <v>4</v>
      </c>
      <c r="B6" t="s">
        <v>5</v>
      </c>
      <c r="C6" t="s">
        <v>6</v>
      </c>
      <c r="J6">
        <f>Tétellista!H22</f>
        <v>0</v>
      </c>
    </row>
    <row r="7" spans="1:10" ht="12.75">
      <c r="A7" s="2">
        <f>IF(HLOOKUP($B$1,'Rendszer cikkszámok'!$J$3:$Q$11,2,FALSE)=0,"",HLOOKUP($B$1,'Rendszer cikkszámok'!$J$3:$Q$11,2,FALSE))</f>
        <v>1005261</v>
      </c>
      <c r="B7" s="2" t="str">
        <f>_xlfn.IFNA(VLOOKUP(A7,'Rendszer cikkszámok'!$D$3:$E$103,2,FALSE),"")</f>
        <v>Uponor Minitec rendszerlemez 1100x700x12mm</v>
      </c>
      <c r="C7" s="7">
        <f>_xlfn.IFNA(VLOOKUP(A7,'Rendszer cikkszámok'!$D$3:$F$102,3,FALSE),"")</f>
        <v>0</v>
      </c>
      <c r="D7" t="str">
        <f>_xlfn.IFNA(VLOOKUP(A7,'Rendszer cikkszámok'!$D$3:$G$80,4,FALSE),"")</f>
        <v>m2</v>
      </c>
      <c r="E7">
        <f>_xlfn.IFNA(VLOOKUP(A7,'Rendszer cikkszámok'!$D$3:$H$80,5,FALSE),"")</f>
        <v>15.4</v>
      </c>
      <c r="J7">
        <f>Tétellista!H23</f>
        <v>0</v>
      </c>
    </row>
    <row r="8" spans="1:10" ht="12.75">
      <c r="A8" s="2">
        <f>IF(HLOOKUP($B$1,'Rendszer cikkszámok'!$J$3:$Q$11,3,FALSE)=0,"",HLOOKUP($B$1,'Rendszer cikkszámok'!$J$3:$Q$11,3,FALSE))</f>
        <v>1063289</v>
      </c>
      <c r="B8" s="2" t="str">
        <f>_xlfn.IFNA(VLOOKUP(A8,'Rendszer cikkszámok'!$D$3:$E$103,2,FALSE),"")</f>
        <v>Uponor Minitec Comfort cső 9.9x1.1 240m</v>
      </c>
      <c r="C8" s="7">
        <f>_xlfn.IFNA(VLOOKUP(A8,'Rendszer cikkszámok'!$D$3:$F$102,3,FALSE),"")</f>
        <v>0</v>
      </c>
      <c r="D8" t="str">
        <f>_xlfn.IFNA(VLOOKUP(A8,'Rendszer cikkszámok'!$D$3:$G$80,4,FALSE),"")</f>
        <v>m</v>
      </c>
      <c r="E8">
        <f>_xlfn.IFNA(VLOOKUP(A8,'Rendszer cikkszámok'!$D$3:$H$80,5,FALSE),"")</f>
        <v>240</v>
      </c>
      <c r="J8">
        <f>Tétellista!H24</f>
        <v>0</v>
      </c>
    </row>
    <row r="9" spans="1:10" ht="12.75">
      <c r="A9" s="2">
        <f>IF(HLOOKUP($B$1,'Rendszer cikkszámok'!$J$3:$Q$11,4,FALSE)=0,"",HLOOKUP($B$1,'Rendszer cikkszámok'!$J$3:$Q$11,4,FALSE))</f>
        <v>1005267</v>
      </c>
      <c r="B9" s="2" t="str">
        <f>_xlfn.IFNA(VLOOKUP(A9,'Rendszer cikkszámok'!$D$3:$E$103,2,FALSE),"")</f>
        <v>Uponor Minitec szegélyszigetelés 80x8 mm 20m </v>
      </c>
      <c r="C9" s="7">
        <f>_xlfn.IFNA(VLOOKUP(A9,'Rendszer cikkszámok'!$D$3:$F$102,3,FALSE),"")</f>
        <v>0</v>
      </c>
      <c r="D9" t="str">
        <f>_xlfn.IFNA(VLOOKUP(A9,'Rendszer cikkszámok'!$D$3:$G$80,4,FALSE),"")</f>
        <v>m</v>
      </c>
      <c r="E9">
        <f>_xlfn.IFNA(VLOOKUP(A9,'Rendszer cikkszámok'!$D$3:$H$80,5,FALSE),"")</f>
        <v>20</v>
      </c>
      <c r="J9">
        <f>Tétellista!H25</f>
        <v>0</v>
      </c>
    </row>
    <row r="10" spans="1:10" ht="12.75">
      <c r="A10" s="2">
        <f>IF(HLOOKUP($B$1,'Rendszer cikkszámok'!$J$3:$Q$11,5,FALSE)=0,"",HLOOKUP($B$1,'Rendszer cikkszámok'!$J$3:$Q$11,5,FALSE))</f>
        <v>1013426</v>
      </c>
      <c r="B10" s="2" t="str">
        <f>_xlfn.IFNA(VLOOKUP(A10,'Rendszer cikkszámok'!$D$3:$E$103,2,FALSE),"")</f>
        <v>Uponor Minitec szorítógyűrűs csavarzat 9,9×1,1-3/4"</v>
      </c>
      <c r="C10" s="7">
        <f>_xlfn.IFNA(VLOOKUP(A10,'Rendszer cikkszámok'!$D$3:$F$102,3,FALSE),"")</f>
        <v>0</v>
      </c>
      <c r="D10" t="str">
        <f>_xlfn.IFNA(VLOOKUP(A10,'Rendszer cikkszámok'!$D$3:$G$80,4,FALSE),"")</f>
        <v>db</v>
      </c>
      <c r="E10">
        <f>_xlfn.IFNA(VLOOKUP(A10,'Rendszer cikkszámok'!$D$3:$H$80,5,FALSE),"")</f>
        <v>12</v>
      </c>
      <c r="J10">
        <f>Tétellista!H26</f>
        <v>0</v>
      </c>
    </row>
    <row r="11" spans="1:10" ht="12.75">
      <c r="A11" s="2">
        <f>IF(HLOOKUP($B$1,'Rendszer cikkszámok'!$J$3:$Q$11,6,FALSE)=0,"",HLOOKUP($B$1,'Rendszer cikkszámok'!$J$3:$Q$11,6,FALSE))</f>
        <v>1063781</v>
      </c>
      <c r="B11" s="2" t="str">
        <f>_xlfn.IFNA(VLOOKUP(A11,'Rendszer cikkszámok'!$D$3:$E$103,2,FALSE),"")</f>
        <v>Uponor Multi műanyag csőrögzítő ív 9,9</v>
      </c>
      <c r="C11" s="7">
        <f>_xlfn.IFNA(VLOOKUP(A11,'Rendszer cikkszámok'!$D$3:$F$102,3,FALSE),"")</f>
        <v>0</v>
      </c>
      <c r="D11" t="str">
        <f>_xlfn.IFNA(VLOOKUP(A11,'Rendszer cikkszámok'!$D$3:$G$80,4,FALSE),"")</f>
        <v>db</v>
      </c>
      <c r="E11">
        <f>_xlfn.IFNA(VLOOKUP(A11,'Rendszer cikkszámok'!$D$3:$H$80,5,FALSE),"")</f>
        <v>50</v>
      </c>
      <c r="J11">
        <f>Tétellista!H27</f>
        <v>0</v>
      </c>
    </row>
    <row r="12" spans="1:5" ht="12.75">
      <c r="A12" s="2">
        <f>IF(HLOOKUP($B$1,'Rendszer cikkszámok'!$J$3:$Q$11,7,FALSE)=0,"",HLOOKUP($B$1,'Rendszer cikkszámok'!$J$3:$Q$11,7,FALSE))</f>
      </c>
      <c r="B12" s="2">
        <f>_xlfn.IFNA(VLOOKUP(A12,'Rendszer cikkszámok'!$D$3:$E$103,2,FALSE),"")</f>
      </c>
      <c r="C12" s="7">
        <f>_xlfn.IFNA(VLOOKUP(A12,'Rendszer cikkszámok'!$D$3:$F$102,3,FALSE),"")</f>
      </c>
      <c r="D12">
        <f>_xlfn.IFNA(VLOOKUP(A12,'Rendszer cikkszámok'!$D$3:$G$80,4,FALSE),"")</f>
      </c>
      <c r="E12">
        <f>_xlfn.IFNA(VLOOKUP(A12,'Rendszer cikkszámok'!$D$3:$H$80,5,FALSE),"")</f>
      </c>
    </row>
    <row r="13" spans="1:5" ht="12.75">
      <c r="A13" s="2">
        <f>IF(HLOOKUP($B$1,'Rendszer cikkszámok'!$J$3:$Q$11,8,FALSE)=0,"",HLOOKUP($B$1,'Rendszer cikkszámok'!$J$3:$Q$11,8,FALSE))</f>
      </c>
      <c r="B13" s="2">
        <f>_xlfn.IFNA(VLOOKUP(A13,'Rendszer cikkszámok'!$D$3:$E$103,2,FALSE),"")</f>
      </c>
      <c r="C13" s="7">
        <f>_xlfn.IFNA(VLOOKUP(A13,'Rendszer cikkszámok'!$D$3:$F$102,3,FALSE),"")</f>
      </c>
      <c r="D13">
        <f>_xlfn.IFNA(VLOOKUP(A13,'Rendszer cikkszámok'!$D$3:$G$80,4,FALSE),"")</f>
      </c>
      <c r="E13">
        <f>_xlfn.IFNA(VLOOKUP(A13,'Rendszer cikkszámok'!$D$3:$H$80,5,FALSE),"")</f>
      </c>
    </row>
    <row r="14" spans="1:5" ht="12.75">
      <c r="A14" s="2">
        <f>Osztó!M4</f>
        <v>1038166</v>
      </c>
      <c r="B14" s="2" t="str">
        <f>_xlfn.IFNA(VLOOKUP(A14,'Rendszer cikkszámok'!$D$3:$E$103,2,FALSE),"")</f>
        <v>Uponor Vario Plus automata légtelenítő 3/8"</v>
      </c>
      <c r="C14" s="8">
        <f>_xlfn.IFNA(VLOOKUP(A14,'Rendszer cikkszámok'!$D$3:$F$102,3,FALSE),"")</f>
        <v>0</v>
      </c>
      <c r="D14" t="str">
        <f>_xlfn.IFNA(VLOOKUP(A14,'Rendszer cikkszámok'!$D$3:$G$102,4,FALSE),"")</f>
        <v>db</v>
      </c>
      <c r="E14">
        <f>_xlfn.IFNA(VLOOKUP(A14,'Rendszer cikkszámok'!$D$3:$H$102,5,FALSE),"")</f>
        <v>1</v>
      </c>
    </row>
    <row r="15" spans="1:5" ht="12.75">
      <c r="A15" s="2">
        <f>Osztó!N4</f>
        <v>1059132</v>
      </c>
      <c r="B15" s="2" t="str">
        <f>_xlfn.IFNA(VLOOKUP(A15,'Rendszer cikkszámok'!$D$3:$E$103,2,FALSE),"")</f>
        <v>Uponor Vario golyóscsap km/bm 1"/1"</v>
      </c>
      <c r="C15" s="8">
        <f>_xlfn.IFNA(VLOOKUP(A15,'Rendszer cikkszámok'!$D$3:$F$102,3,FALSE),"")</f>
        <v>0</v>
      </c>
      <c r="D15" t="str">
        <f>_xlfn.IFNA(VLOOKUP(A15,'Rendszer cikkszámok'!$D$3:$G$102,4,FALSE),"")</f>
        <v>db</v>
      </c>
      <c r="E15">
        <f>_xlfn.IFNA(VLOOKUP(A15,'Rendszer cikkszámok'!$D$3:$H$102,5,FALSE),"")</f>
        <v>1</v>
      </c>
    </row>
    <row r="16" spans="1:5" ht="12.75">
      <c r="A16" s="2">
        <f>'Osztó Vario PLUS'!J4</f>
        <v>1032702</v>
      </c>
      <c r="B16" s="2" t="str">
        <f>_xlfn.IFNA(VLOOKUP(A16,'Rendszer cikkszámok'!$D$3:$E$103,2,FALSE),"")</f>
        <v>Uponor Vario Plus osztó-gyűjtő könyök</v>
      </c>
      <c r="C16" s="8">
        <f>_xlfn.IFNA(VLOOKUP(A16,'Rendszer cikkszámok'!$D$3:$F$102,3,FALSE),"")</f>
        <v>0</v>
      </c>
      <c r="D16" t="str">
        <f>_xlfn.IFNA(VLOOKUP(A16,'Rendszer cikkszámok'!$D$3:$G$102,4,FALSE),"")</f>
        <v>pár</v>
      </c>
      <c r="E16">
        <f>_xlfn.IFNA(VLOOKUP(A16,'Rendszer cikkszámok'!$D$3:$H$102,5,FALSE),"")</f>
        <v>1</v>
      </c>
    </row>
    <row r="17" spans="1:5" ht="12.75">
      <c r="A17" s="2">
        <f>'Rendszer cikkszámok'!D59</f>
        <v>1009209</v>
      </c>
      <c r="B17" s="2" t="str">
        <f>_xlfn.IFNA(VLOOKUP(A17,'Rendszer cikkszámok'!$D$3:$E$103,2,FALSE),"")</f>
        <v>Uponor Vario Plus osztó-gyűjtő alapkészlet</v>
      </c>
      <c r="C17" s="8">
        <f>_xlfn.IFNA(VLOOKUP(A17,'Rendszer cikkszámok'!$D$3:$F$102,3,FALSE),"")</f>
        <v>0</v>
      </c>
      <c r="D17" t="str">
        <f>_xlfn.IFNA(VLOOKUP(A17,'Rendszer cikkszámok'!$D$3:$G$102,4,FALSE),"")</f>
        <v>db</v>
      </c>
      <c r="E17">
        <f>_xlfn.IFNA(VLOOKUP(A17,'Rendszer cikkszámok'!$D$3:$H$102,5,FALSE),"")</f>
        <v>1</v>
      </c>
    </row>
    <row r="18" spans="1:5" ht="12.75">
      <c r="A18" s="2">
        <f>IF(_xlfn.IFNA(VLOOKUP(VLOOKUP(Processzor!$B$1,'Rendszer cikkszámok'!$J$16:$M$23,4,FALSE),'Osztó Vario PLUS'!$A$4:$S$34,15,FALSE),"")=0,"",_xlfn.IFNA(VLOOKUP(VLOOKUP(Processzor!$B$1,'Rendszer cikkszámok'!$J$16:$M$23,4,FALSE),'Osztó Vario PLUS'!$A$4:$S$34,15,FALSE),""))</f>
      </c>
      <c r="B18" s="2">
        <f>_xlfn.IFNA(VLOOKUP(A18,'Rendszer cikkszámok'!$D$3:$E$103,2,FALSE),"")</f>
      </c>
      <c r="C18" s="8">
        <f>_xlfn.IFNA(VLOOKUP(A18,'Rendszer cikkszámok'!$D$3:$F$102,3,FALSE),"")</f>
      </c>
      <c r="D18">
        <f>_xlfn.IFNA(VLOOKUP(A18,'Rendszer cikkszámok'!$D$3:$G$102,4,FALSE),"")</f>
      </c>
      <c r="E18">
        <f>_xlfn.IFNA(VLOOKUP(A18,'Rendszer cikkszámok'!$D$3:$H$102,5,FALSE),"")</f>
      </c>
    </row>
    <row r="19" spans="1:5" ht="12.75">
      <c r="A19" s="2">
        <f>IF(_xlfn.IFNA(VLOOKUP(VLOOKUP(Processzor!$B$1,'Rendszer cikkszámok'!$J$16:$M$23,4,FALSE),'Osztó Vario PLUS'!$A$4:$S$34,16,FALSE),"")=0,"",_xlfn.IFNA(VLOOKUP(VLOOKUP(Processzor!$B$1,'Rendszer cikkszámok'!$J$16:$M$23,4,FALSE),'Osztó Vario PLUS'!$A$4:$S$34,16,FALSE),""))</f>
      </c>
      <c r="B19" s="2">
        <f>_xlfn.IFNA(VLOOKUP(A19,'Rendszer cikkszámok'!$D$3:$E$103,2,FALSE),"")</f>
      </c>
      <c r="C19" s="8">
        <f>_xlfn.IFNA(VLOOKUP(A19,'Rendszer cikkszámok'!$D$3:$F$102,3,FALSE),"")</f>
      </c>
      <c r="D19">
        <f>_xlfn.IFNA(VLOOKUP(A19,'Rendszer cikkszámok'!$D$3:$G$102,4,FALSE),"")</f>
      </c>
      <c r="E19">
        <f>_xlfn.IFNA(VLOOKUP(A19,'Rendszer cikkszámok'!$D$3:$H$102,5,FALSE),"")</f>
      </c>
    </row>
    <row r="20" spans="1:5" ht="12.75">
      <c r="A20" s="2">
        <f>IF(_xlfn.IFNA(VLOOKUP(VLOOKUP(Processzor!$B$1,'Rendszer cikkszámok'!$J$16:$M$23,4,FALSE),'Osztó Vario PLUS'!$A$4:$S$34,17,FALSE),"")=0,"",_xlfn.IFNA(VLOOKUP(VLOOKUP(Processzor!$B$1,'Rendszer cikkszámok'!$J$16:$M$23,4,FALSE),'Osztó Vario PLUS'!$A$4:$S$34,17,FALSE),""))</f>
      </c>
      <c r="B20" s="2">
        <f>_xlfn.IFNA(VLOOKUP(A20,'Rendszer cikkszámok'!$D$3:$E$103,2,FALSE),"")</f>
      </c>
      <c r="C20" s="8">
        <f>_xlfn.IFNA(VLOOKUP(A20,'Rendszer cikkszámok'!$D$3:$F$102,3,FALSE),"")</f>
      </c>
      <c r="D20">
        <f>_xlfn.IFNA(VLOOKUP(A20,'Rendszer cikkszámok'!$D$3:$G$102,4,FALSE),"")</f>
      </c>
      <c r="E20">
        <f>_xlfn.IFNA(VLOOKUP(A20,'Rendszer cikkszámok'!$D$3:$H$102,5,FALSE),"")</f>
      </c>
    </row>
    <row r="21" spans="1:5" ht="12.75">
      <c r="A21" s="2">
        <f>IF(_xlfn.IFNA(VLOOKUP(VLOOKUP(Processzor!$B$1,'Rendszer cikkszámok'!$J$16:$M$23,4,FALSE),'Osztó Vario PLUS'!$A$4:$S$34,18,FALSE),"")=0,"",_xlfn.IFNA(VLOOKUP(VLOOKUP(Processzor!$B$1,'Rendszer cikkszámok'!$J$16:$M$23,4,FALSE),'Osztó Vario PLUS'!$A$4:$S$34,18,FALSE),""))</f>
      </c>
      <c r="B21" s="2">
        <f>_xlfn.IFNA(VLOOKUP(A21,'Rendszer cikkszámok'!$D$3:$E$103,2,FALSE),"")</f>
      </c>
      <c r="C21" s="8">
        <f>_xlfn.IFNA(VLOOKUP(A21,'Rendszer cikkszámok'!$D$3:$F$102,3,FALSE),"")</f>
      </c>
      <c r="D21">
        <f>_xlfn.IFNA(VLOOKUP(A21,'Rendszer cikkszámok'!$D$3:$G$102,4,FALSE),"")</f>
      </c>
      <c r="E21">
        <f>_xlfn.IFNA(VLOOKUP(A21,'Rendszer cikkszámok'!$D$3:$H$102,5,FALSE),"")</f>
      </c>
    </row>
    <row r="22" spans="1:5" ht="12.75">
      <c r="A22" s="2">
        <f>IF(_xlfn.IFNA(VLOOKUP(VLOOKUP(Processzor!$B$1,'Rendszer cikkszámok'!$J$16:$M$23,4,FALSE),'Osztó Vario PLUS'!$A$4:$S$34,19,FALSE),"")=0,"",_xlfn.IFNA(VLOOKUP(VLOOKUP(Processzor!$B$1,'Rendszer cikkszámok'!$J$16:$M$23,4,FALSE),'Osztó Vario PLUS'!$A$4:$S$34,19,FALSE),""))</f>
      </c>
      <c r="B22" s="2">
        <f>_xlfn.IFNA(VLOOKUP(A22,'Rendszer cikkszámok'!$D$3:$E$103,2,FALSE),"")</f>
      </c>
      <c r="C22" s="8">
        <f>_xlfn.IFNA(VLOOKUP(A22,'Rendszer cikkszámok'!$D$3:$F$102,3,FALSE),"")</f>
      </c>
      <c r="D22">
        <f>_xlfn.IFNA(VLOOKUP(A22,'Rendszer cikkszámok'!$D$3:$G$102,4,FALSE),"")</f>
      </c>
      <c r="E22">
        <f>_xlfn.IFNA(VLOOKUP(A22,'Rendszer cikkszámok'!$D$3:$H$102,5,FALSE),"")</f>
      </c>
    </row>
    <row r="23" spans="2:3" ht="12.75">
      <c r="B23">
        <f>_xlfn.IFNA(VLOOKUP(A23,'Rendszer cikkszámok'!$D$3:$E$103,2,FALSE),"")</f>
      </c>
      <c r="C23" s="6"/>
    </row>
    <row r="24" spans="2:3" ht="12.75">
      <c r="B24">
        <f>_xlfn.IFNA(VLOOKUP(A24,'Rendszer cikkszámok'!$D$3:$E$103,2,FALSE),"")</f>
      </c>
      <c r="C24" s="6"/>
    </row>
    <row r="25" ht="12.75">
      <c r="B25">
        <f>_xlfn.IFNA(VLOOKUP(A25,'Rendszer cikkszámok'!$D$3:$E$103,2,FALSE),"")</f>
      </c>
    </row>
    <row r="30" ht="12.75">
      <c r="B30">
        <f>_xlfn.IFNA(VLOOKUP(A30,'Rendszer cikkszámok'!$D$3:$E$103,2,FALSE),"")</f>
      </c>
    </row>
    <row r="31" ht="12.75">
      <c r="B31">
        <f>_xlfn.IFNA(VLOOKUP(A31,'Rendszer cikkszámok'!$D$3:$E$103,2,FALSE),"")</f>
      </c>
    </row>
    <row r="32" ht="12.75">
      <c r="B32">
        <f>_xlfn.IFNA(VLOOKUP(A32,'Rendszer cikkszámok'!$D$3:$E$103,2,FALSE),"")</f>
      </c>
    </row>
    <row r="33" ht="12.75">
      <c r="B33">
        <f>_xlfn.IFNA(VLOOKUP(A33,'Rendszer cikkszámok'!$D$3:$E$103,2,FALSE),"")</f>
      </c>
    </row>
    <row r="34" ht="12.75">
      <c r="B34">
        <f>_xlfn.IFNA(VLOOKUP(A34,'Rendszer cikkszámok'!$D$3:$E$103,2,FALSE),"")</f>
      </c>
    </row>
  </sheetData>
  <sheetProtection/>
  <dataValidations count="1">
    <dataValidation type="list" allowBlank="1" showInputMessage="1" showErrorMessage="1" sqref="B1">
      <formula1>"Minitec, Siccus, Classic, Tecto, Tacker, Minitec mennyezet"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34"/>
  <sheetViews>
    <sheetView zoomScalePageLayoutView="0" workbookViewId="0" topLeftCell="A1">
      <selection activeCell="B10" sqref="B10:R10"/>
    </sheetView>
  </sheetViews>
  <sheetFormatPr defaultColWidth="9.140625" defaultRowHeight="12.75"/>
  <cols>
    <col min="1" max="1" width="3.00390625" style="0" customWidth="1"/>
    <col min="2" max="2" width="8.00390625" style="0" customWidth="1"/>
    <col min="3" max="3" width="10.28125" style="0" customWidth="1"/>
    <col min="4" max="12" width="8.00390625" style="0" customWidth="1"/>
    <col min="13" max="13" width="9.421875" style="0" customWidth="1"/>
    <col min="14" max="14" width="10.421875" style="0" customWidth="1"/>
    <col min="15" max="15" width="9.57421875" style="0" customWidth="1"/>
    <col min="16" max="16" width="10.00390625" style="0" customWidth="1"/>
    <col min="17" max="17" width="10.421875" style="0" customWidth="1"/>
    <col min="18" max="18" width="10.8515625" style="0" customWidth="1"/>
    <col min="19" max="19" width="21.140625" style="0" customWidth="1"/>
    <col min="20" max="25" width="9.140625" style="0" customWidth="1"/>
  </cols>
  <sheetData>
    <row r="1" spans="1:19" ht="12.75">
      <c r="A1" s="12" t="s">
        <v>27</v>
      </c>
      <c r="S1" s="12" t="s">
        <v>28</v>
      </c>
    </row>
    <row r="2" spans="1:23" ht="12.75">
      <c r="A2" s="12">
        <v>1</v>
      </c>
      <c r="B2">
        <v>2</v>
      </c>
      <c r="C2" s="12">
        <v>3</v>
      </c>
      <c r="D2">
        <v>4</v>
      </c>
      <c r="E2" s="12">
        <v>5</v>
      </c>
      <c r="F2">
        <v>6</v>
      </c>
      <c r="G2" s="12">
        <v>7</v>
      </c>
      <c r="H2">
        <v>8</v>
      </c>
      <c r="I2" s="12">
        <v>9</v>
      </c>
      <c r="J2">
        <v>10</v>
      </c>
      <c r="K2" s="12">
        <v>11</v>
      </c>
      <c r="L2">
        <v>12</v>
      </c>
      <c r="M2" s="12">
        <v>13</v>
      </c>
      <c r="N2">
        <v>14</v>
      </c>
      <c r="O2" s="12">
        <v>15</v>
      </c>
      <c r="P2">
        <v>16</v>
      </c>
      <c r="Q2" s="12">
        <v>17</v>
      </c>
      <c r="R2">
        <v>18</v>
      </c>
      <c r="S2" s="12">
        <v>19</v>
      </c>
      <c r="T2">
        <v>20</v>
      </c>
      <c r="U2" s="12">
        <v>21</v>
      </c>
      <c r="V2">
        <v>22</v>
      </c>
      <c r="W2" s="12">
        <v>23</v>
      </c>
    </row>
    <row r="3" spans="2:19" ht="38.25" customHeight="1"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s="5"/>
    </row>
    <row r="4" spans="2:18" ht="12.75">
      <c r="B4">
        <v>1085944</v>
      </c>
      <c r="C4">
        <v>1085945</v>
      </c>
      <c r="D4">
        <v>1085946</v>
      </c>
      <c r="E4">
        <v>1085947</v>
      </c>
      <c r="F4">
        <v>1085948</v>
      </c>
      <c r="G4">
        <v>1085949</v>
      </c>
      <c r="H4">
        <v>1085950</v>
      </c>
      <c r="I4">
        <v>1085951</v>
      </c>
      <c r="J4">
        <v>1085952</v>
      </c>
      <c r="K4">
        <v>1086250</v>
      </c>
      <c r="L4">
        <v>1086251</v>
      </c>
      <c r="M4">
        <v>1038166</v>
      </c>
      <c r="N4">
        <v>1059132</v>
      </c>
      <c r="O4">
        <v>1046996</v>
      </c>
      <c r="P4">
        <v>1046997</v>
      </c>
      <c r="Q4">
        <v>1046998</v>
      </c>
      <c r="R4">
        <v>1046999</v>
      </c>
    </row>
    <row r="5" spans="1:20" ht="12.75">
      <c r="A5">
        <v>1</v>
      </c>
      <c r="B5">
        <v>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2</v>
      </c>
      <c r="N5">
        <v>1</v>
      </c>
      <c r="O5">
        <v>1</v>
      </c>
      <c r="P5">
        <v>0</v>
      </c>
      <c r="Q5">
        <v>0</v>
      </c>
      <c r="R5">
        <v>0</v>
      </c>
      <c r="S5">
        <v>1042471</v>
      </c>
      <c r="T5">
        <v>1046996</v>
      </c>
    </row>
    <row r="6" spans="1:20" ht="12.75">
      <c r="A6">
        <v>2</v>
      </c>
      <c r="B6">
        <v>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2</v>
      </c>
      <c r="N6">
        <v>1</v>
      </c>
      <c r="O6">
        <v>1</v>
      </c>
      <c r="P6">
        <v>0</v>
      </c>
      <c r="Q6">
        <v>0</v>
      </c>
      <c r="R6">
        <v>0</v>
      </c>
      <c r="S6">
        <v>1085944</v>
      </c>
      <c r="T6">
        <v>1046996</v>
      </c>
    </row>
    <row r="7" spans="1:20" ht="12.75">
      <c r="A7">
        <v>3</v>
      </c>
      <c r="B7">
        <v>0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2</v>
      </c>
      <c r="N7">
        <v>1</v>
      </c>
      <c r="O7">
        <v>1</v>
      </c>
      <c r="P7">
        <v>0</v>
      </c>
      <c r="Q7">
        <v>0</v>
      </c>
      <c r="R7">
        <v>0</v>
      </c>
      <c r="S7">
        <v>1085945</v>
      </c>
      <c r="T7">
        <v>1046996</v>
      </c>
    </row>
    <row r="8" spans="1:20" ht="12.75">
      <c r="A8">
        <v>4</v>
      </c>
      <c r="B8">
        <v>0</v>
      </c>
      <c r="C8">
        <v>0</v>
      </c>
      <c r="D8">
        <v>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2</v>
      </c>
      <c r="N8">
        <v>1</v>
      </c>
      <c r="O8">
        <v>1</v>
      </c>
      <c r="P8">
        <v>0</v>
      </c>
      <c r="Q8">
        <v>0</v>
      </c>
      <c r="R8">
        <v>0</v>
      </c>
      <c r="S8">
        <v>1085946</v>
      </c>
      <c r="T8">
        <v>1046996</v>
      </c>
    </row>
    <row r="9" spans="1:20" ht="12.75">
      <c r="A9">
        <v>5</v>
      </c>
      <c r="B9">
        <v>0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2</v>
      </c>
      <c r="N9">
        <v>1</v>
      </c>
      <c r="O9">
        <v>1</v>
      </c>
      <c r="P9">
        <v>0</v>
      </c>
      <c r="Q9">
        <v>0</v>
      </c>
      <c r="R9">
        <v>0</v>
      </c>
      <c r="S9">
        <v>1085947</v>
      </c>
      <c r="T9">
        <v>1046996</v>
      </c>
    </row>
    <row r="10" spans="1:20" ht="12.75">
      <c r="A10">
        <v>6</v>
      </c>
      <c r="B10">
        <v>0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2</v>
      </c>
      <c r="N10">
        <v>1</v>
      </c>
      <c r="O10">
        <v>1</v>
      </c>
      <c r="P10">
        <v>0</v>
      </c>
      <c r="Q10">
        <v>0</v>
      </c>
      <c r="R10">
        <v>0</v>
      </c>
      <c r="S10">
        <v>1085948</v>
      </c>
      <c r="T10">
        <v>1046996</v>
      </c>
    </row>
    <row r="11" spans="1:20" ht="12.75">
      <c r="A11">
        <v>7</v>
      </c>
      <c r="B11">
        <v>0</v>
      </c>
      <c r="C11">
        <v>0</v>
      </c>
      <c r="D11">
        <v>0</v>
      </c>
      <c r="E11">
        <v>0</v>
      </c>
      <c r="F11">
        <v>0</v>
      </c>
      <c r="G11">
        <v>1</v>
      </c>
      <c r="H11">
        <v>0</v>
      </c>
      <c r="I11">
        <v>0</v>
      </c>
      <c r="J11">
        <v>0</v>
      </c>
      <c r="K11">
        <v>0</v>
      </c>
      <c r="L11">
        <v>0</v>
      </c>
      <c r="M11">
        <v>2</v>
      </c>
      <c r="N11">
        <v>1</v>
      </c>
      <c r="O11">
        <v>0</v>
      </c>
      <c r="P11">
        <v>1</v>
      </c>
      <c r="Q11">
        <v>0</v>
      </c>
      <c r="R11">
        <v>0</v>
      </c>
      <c r="S11">
        <v>1085949</v>
      </c>
      <c r="T11">
        <v>1046997</v>
      </c>
    </row>
    <row r="12" spans="1:20" ht="12.75">
      <c r="A12">
        <v>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2</v>
      </c>
      <c r="N12">
        <v>1</v>
      </c>
      <c r="O12">
        <v>0</v>
      </c>
      <c r="P12">
        <v>1</v>
      </c>
      <c r="Q12">
        <v>0</v>
      </c>
      <c r="R12">
        <v>0</v>
      </c>
      <c r="S12">
        <v>1085950</v>
      </c>
      <c r="T12">
        <v>1046997</v>
      </c>
    </row>
    <row r="13" spans="1:20" ht="12.75">
      <c r="A13">
        <v>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1</v>
      </c>
      <c r="J13">
        <v>0</v>
      </c>
      <c r="K13">
        <v>0</v>
      </c>
      <c r="L13">
        <v>0</v>
      </c>
      <c r="M13">
        <v>2</v>
      </c>
      <c r="N13">
        <v>1</v>
      </c>
      <c r="O13">
        <v>0</v>
      </c>
      <c r="P13">
        <v>1</v>
      </c>
      <c r="Q13">
        <v>0</v>
      </c>
      <c r="R13">
        <v>0</v>
      </c>
      <c r="S13">
        <v>1085951</v>
      </c>
      <c r="T13">
        <v>1046997</v>
      </c>
    </row>
    <row r="14" spans="1:20" ht="12.75">
      <c r="A14">
        <v>10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2</v>
      </c>
      <c r="N14">
        <v>1</v>
      </c>
      <c r="O14">
        <v>0</v>
      </c>
      <c r="P14">
        <v>0</v>
      </c>
      <c r="Q14">
        <v>1</v>
      </c>
      <c r="R14">
        <v>0</v>
      </c>
      <c r="S14">
        <v>1085952</v>
      </c>
      <c r="T14">
        <v>1046998</v>
      </c>
    </row>
    <row r="15" spans="1:20" ht="12.75">
      <c r="A15">
        <v>11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L15">
        <v>0</v>
      </c>
      <c r="M15">
        <v>2</v>
      </c>
      <c r="N15">
        <v>1</v>
      </c>
      <c r="O15">
        <v>0</v>
      </c>
      <c r="P15">
        <v>0</v>
      </c>
      <c r="Q15">
        <v>0</v>
      </c>
      <c r="R15">
        <v>1</v>
      </c>
      <c r="S15">
        <v>1086250</v>
      </c>
      <c r="T15">
        <v>1046999</v>
      </c>
    </row>
    <row r="16" spans="1:20" ht="12.75">
      <c r="A16">
        <v>12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1</v>
      </c>
      <c r="M16">
        <v>2</v>
      </c>
      <c r="N16">
        <v>1</v>
      </c>
      <c r="O16">
        <v>0</v>
      </c>
      <c r="P16">
        <v>0</v>
      </c>
      <c r="Q16">
        <v>0</v>
      </c>
      <c r="R16">
        <v>1</v>
      </c>
      <c r="S16">
        <v>1086251</v>
      </c>
      <c r="T16">
        <v>1046999</v>
      </c>
    </row>
    <row r="17" spans="1:22" ht="12.75">
      <c r="A17">
        <v>13</v>
      </c>
      <c r="B17">
        <v>0</v>
      </c>
      <c r="C17">
        <v>0</v>
      </c>
      <c r="D17">
        <v>0</v>
      </c>
      <c r="E17">
        <v>0</v>
      </c>
      <c r="F17">
        <v>1</v>
      </c>
      <c r="G17">
        <v>1</v>
      </c>
      <c r="H17">
        <v>0</v>
      </c>
      <c r="I17">
        <v>0</v>
      </c>
      <c r="J17">
        <v>0</v>
      </c>
      <c r="K17">
        <v>0</v>
      </c>
      <c r="L17">
        <v>0</v>
      </c>
      <c r="M17">
        <v>4</v>
      </c>
      <c r="N17">
        <v>2</v>
      </c>
      <c r="O17">
        <v>1</v>
      </c>
      <c r="P17">
        <v>1</v>
      </c>
      <c r="Q17">
        <v>0</v>
      </c>
      <c r="R17">
        <v>0</v>
      </c>
      <c r="S17">
        <v>1085948</v>
      </c>
      <c r="T17">
        <v>1085949</v>
      </c>
      <c r="U17">
        <v>1046996</v>
      </c>
      <c r="V17">
        <v>1046997</v>
      </c>
    </row>
    <row r="18" spans="1:20" ht="12.75">
      <c r="A18">
        <v>14</v>
      </c>
      <c r="B18">
        <v>0</v>
      </c>
      <c r="C18">
        <v>0</v>
      </c>
      <c r="D18">
        <v>0</v>
      </c>
      <c r="E18">
        <v>0</v>
      </c>
      <c r="F18">
        <v>0</v>
      </c>
      <c r="G18">
        <v>2</v>
      </c>
      <c r="H18">
        <v>0</v>
      </c>
      <c r="I18">
        <v>0</v>
      </c>
      <c r="J18">
        <v>0</v>
      </c>
      <c r="K18">
        <v>0</v>
      </c>
      <c r="L18">
        <v>0</v>
      </c>
      <c r="M18">
        <v>4</v>
      </c>
      <c r="N18">
        <v>2</v>
      </c>
      <c r="O18">
        <v>0</v>
      </c>
      <c r="P18">
        <v>2</v>
      </c>
      <c r="Q18">
        <v>0</v>
      </c>
      <c r="R18">
        <v>0</v>
      </c>
      <c r="S18">
        <v>1085949</v>
      </c>
      <c r="T18">
        <v>1046997</v>
      </c>
    </row>
    <row r="19" spans="1:21" ht="12.75">
      <c r="A19">
        <v>15</v>
      </c>
      <c r="B19">
        <v>0</v>
      </c>
      <c r="C19">
        <v>0</v>
      </c>
      <c r="D19">
        <v>0</v>
      </c>
      <c r="E19">
        <v>0</v>
      </c>
      <c r="F19">
        <v>0</v>
      </c>
      <c r="G19">
        <v>1</v>
      </c>
      <c r="H19">
        <v>1</v>
      </c>
      <c r="I19">
        <v>0</v>
      </c>
      <c r="J19">
        <v>0</v>
      </c>
      <c r="K19">
        <v>0</v>
      </c>
      <c r="L19">
        <v>0</v>
      </c>
      <c r="M19">
        <v>4</v>
      </c>
      <c r="N19">
        <v>2</v>
      </c>
      <c r="O19">
        <v>0</v>
      </c>
      <c r="P19">
        <v>2</v>
      </c>
      <c r="Q19">
        <v>0</v>
      </c>
      <c r="R19">
        <v>0</v>
      </c>
      <c r="S19">
        <v>1085949</v>
      </c>
      <c r="T19">
        <v>1085950</v>
      </c>
      <c r="U19">
        <v>1046997</v>
      </c>
    </row>
    <row r="20" spans="1:20" ht="12.75">
      <c r="A20">
        <v>16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2</v>
      </c>
      <c r="I20">
        <v>0</v>
      </c>
      <c r="J20">
        <v>0</v>
      </c>
      <c r="K20">
        <v>0</v>
      </c>
      <c r="L20">
        <v>0</v>
      </c>
      <c r="M20">
        <v>4</v>
      </c>
      <c r="N20">
        <v>2</v>
      </c>
      <c r="O20">
        <v>0</v>
      </c>
      <c r="P20">
        <v>2</v>
      </c>
      <c r="Q20">
        <v>0</v>
      </c>
      <c r="R20">
        <v>0</v>
      </c>
      <c r="S20">
        <v>1085950</v>
      </c>
      <c r="T20">
        <v>1046997</v>
      </c>
    </row>
    <row r="21" spans="1:21" ht="12.75">
      <c r="A21">
        <v>17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1</v>
      </c>
      <c r="I21">
        <v>1</v>
      </c>
      <c r="J21">
        <v>0</v>
      </c>
      <c r="K21">
        <v>0</v>
      </c>
      <c r="L21">
        <v>0</v>
      </c>
      <c r="M21">
        <v>4</v>
      </c>
      <c r="N21">
        <v>2</v>
      </c>
      <c r="O21">
        <v>0</v>
      </c>
      <c r="P21">
        <v>2</v>
      </c>
      <c r="Q21">
        <v>0</v>
      </c>
      <c r="R21">
        <v>0</v>
      </c>
      <c r="S21">
        <v>1085950</v>
      </c>
      <c r="T21">
        <v>1085951</v>
      </c>
      <c r="U21">
        <v>1046997</v>
      </c>
    </row>
    <row r="22" spans="1:20" ht="12.75">
      <c r="A22">
        <v>18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2</v>
      </c>
      <c r="J22">
        <v>0</v>
      </c>
      <c r="K22">
        <v>0</v>
      </c>
      <c r="L22">
        <v>0</v>
      </c>
      <c r="M22">
        <v>4</v>
      </c>
      <c r="N22">
        <v>2</v>
      </c>
      <c r="O22">
        <v>0</v>
      </c>
      <c r="P22">
        <v>2</v>
      </c>
      <c r="Q22">
        <v>0</v>
      </c>
      <c r="R22">
        <v>0</v>
      </c>
      <c r="S22">
        <v>1085951</v>
      </c>
      <c r="T22">
        <v>1046997</v>
      </c>
    </row>
    <row r="23" spans="1:22" ht="12.75">
      <c r="A23">
        <v>19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1</v>
      </c>
      <c r="J23">
        <v>1</v>
      </c>
      <c r="K23">
        <v>0</v>
      </c>
      <c r="L23">
        <v>0</v>
      </c>
      <c r="M23">
        <v>4</v>
      </c>
      <c r="N23">
        <v>2</v>
      </c>
      <c r="O23">
        <v>0</v>
      </c>
      <c r="P23">
        <v>1</v>
      </c>
      <c r="Q23">
        <v>1</v>
      </c>
      <c r="R23">
        <v>0</v>
      </c>
      <c r="S23">
        <v>1085951</v>
      </c>
      <c r="T23">
        <v>1085952</v>
      </c>
      <c r="U23">
        <v>1046997</v>
      </c>
      <c r="V23">
        <v>1046998</v>
      </c>
    </row>
    <row r="24" spans="1:20" ht="12.75">
      <c r="A24">
        <v>20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2</v>
      </c>
      <c r="K24">
        <v>0</v>
      </c>
      <c r="L24">
        <v>0</v>
      </c>
      <c r="M24">
        <v>4</v>
      </c>
      <c r="N24">
        <v>2</v>
      </c>
      <c r="O24">
        <v>0</v>
      </c>
      <c r="P24">
        <v>0</v>
      </c>
      <c r="Q24">
        <v>2</v>
      </c>
      <c r="R24">
        <v>0</v>
      </c>
      <c r="S24">
        <v>1085952</v>
      </c>
      <c r="T24">
        <v>1046998</v>
      </c>
    </row>
    <row r="25" spans="1:22" ht="12.75">
      <c r="A25">
        <v>21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1</v>
      </c>
      <c r="K25">
        <v>1</v>
      </c>
      <c r="L25">
        <v>0</v>
      </c>
      <c r="M25">
        <v>4</v>
      </c>
      <c r="N25">
        <v>2</v>
      </c>
      <c r="O25">
        <v>0</v>
      </c>
      <c r="P25">
        <v>0</v>
      </c>
      <c r="Q25">
        <v>1</v>
      </c>
      <c r="R25">
        <v>1</v>
      </c>
      <c r="S25">
        <v>1085952</v>
      </c>
      <c r="T25">
        <v>1086250</v>
      </c>
      <c r="U25">
        <v>1046998</v>
      </c>
      <c r="V25">
        <v>1046999</v>
      </c>
    </row>
    <row r="26" spans="1:20" ht="12.75">
      <c r="A26">
        <v>22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2</v>
      </c>
      <c r="L26">
        <v>0</v>
      </c>
      <c r="M26">
        <v>4</v>
      </c>
      <c r="N26">
        <v>2</v>
      </c>
      <c r="O26">
        <v>0</v>
      </c>
      <c r="P26">
        <v>0</v>
      </c>
      <c r="Q26">
        <v>0</v>
      </c>
      <c r="R26">
        <v>2</v>
      </c>
      <c r="S26">
        <v>1086250</v>
      </c>
      <c r="T26">
        <v>1046999</v>
      </c>
    </row>
    <row r="27" spans="1:21" ht="12.75">
      <c r="A27">
        <v>23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1</v>
      </c>
      <c r="L27">
        <v>1</v>
      </c>
      <c r="M27">
        <v>4</v>
      </c>
      <c r="N27">
        <v>2</v>
      </c>
      <c r="O27">
        <v>0</v>
      </c>
      <c r="P27">
        <v>0</v>
      </c>
      <c r="Q27">
        <v>0</v>
      </c>
      <c r="R27">
        <v>2</v>
      </c>
      <c r="S27">
        <v>1086250</v>
      </c>
      <c r="T27">
        <v>1086251</v>
      </c>
      <c r="U27">
        <v>1046999</v>
      </c>
    </row>
    <row r="28" spans="1:20" ht="12.75">
      <c r="A28">
        <v>24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2</v>
      </c>
      <c r="M28">
        <v>4</v>
      </c>
      <c r="N28">
        <v>2</v>
      </c>
      <c r="O28">
        <v>0</v>
      </c>
      <c r="P28">
        <v>0</v>
      </c>
      <c r="Q28">
        <v>0</v>
      </c>
      <c r="R28">
        <v>2</v>
      </c>
      <c r="S28">
        <v>1086251</v>
      </c>
      <c r="T28">
        <v>1046999</v>
      </c>
    </row>
    <row r="29" spans="1:21" ht="12.75">
      <c r="A29">
        <v>25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2</v>
      </c>
      <c r="I29">
        <v>1</v>
      </c>
      <c r="J29">
        <v>0</v>
      </c>
      <c r="K29">
        <v>0</v>
      </c>
      <c r="L29">
        <v>0</v>
      </c>
      <c r="M29">
        <v>6</v>
      </c>
      <c r="N29">
        <v>3</v>
      </c>
      <c r="O29">
        <v>0</v>
      </c>
      <c r="P29">
        <v>3</v>
      </c>
      <c r="Q29">
        <v>0</v>
      </c>
      <c r="R29">
        <v>0</v>
      </c>
      <c r="S29">
        <v>1085950</v>
      </c>
      <c r="T29">
        <v>1085951</v>
      </c>
      <c r="U29">
        <v>1046997</v>
      </c>
    </row>
    <row r="30" spans="1:21" ht="12.75">
      <c r="A30">
        <v>26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1</v>
      </c>
      <c r="I30">
        <v>2</v>
      </c>
      <c r="J30">
        <v>0</v>
      </c>
      <c r="K30">
        <v>0</v>
      </c>
      <c r="L30">
        <v>0</v>
      </c>
      <c r="M30">
        <v>6</v>
      </c>
      <c r="N30">
        <v>3</v>
      </c>
      <c r="O30">
        <v>0</v>
      </c>
      <c r="P30">
        <v>3</v>
      </c>
      <c r="Q30">
        <v>0</v>
      </c>
      <c r="R30">
        <v>0</v>
      </c>
      <c r="S30">
        <v>1085950</v>
      </c>
      <c r="T30">
        <v>1085951</v>
      </c>
      <c r="U30">
        <v>1046997</v>
      </c>
    </row>
    <row r="31" spans="1:20" ht="12.75">
      <c r="A31">
        <v>27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3</v>
      </c>
      <c r="J31">
        <v>0</v>
      </c>
      <c r="K31">
        <v>0</v>
      </c>
      <c r="L31">
        <v>0</v>
      </c>
      <c r="M31">
        <v>6</v>
      </c>
      <c r="N31">
        <v>3</v>
      </c>
      <c r="O31">
        <v>0</v>
      </c>
      <c r="P31">
        <v>3</v>
      </c>
      <c r="Q31">
        <v>0</v>
      </c>
      <c r="R31">
        <v>0</v>
      </c>
      <c r="S31">
        <v>1085951</v>
      </c>
      <c r="T31">
        <v>1046997</v>
      </c>
    </row>
    <row r="32" spans="1:22" ht="12.75">
      <c r="A32">
        <v>28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2</v>
      </c>
      <c r="J32">
        <v>1</v>
      </c>
      <c r="K32">
        <v>0</v>
      </c>
      <c r="L32">
        <v>0</v>
      </c>
      <c r="M32">
        <v>6</v>
      </c>
      <c r="N32">
        <v>3</v>
      </c>
      <c r="O32">
        <v>0</v>
      </c>
      <c r="P32">
        <v>2</v>
      </c>
      <c r="Q32">
        <v>1</v>
      </c>
      <c r="R32">
        <v>0</v>
      </c>
      <c r="S32">
        <v>1085951</v>
      </c>
      <c r="T32">
        <v>1085952</v>
      </c>
      <c r="U32">
        <v>1046997</v>
      </c>
      <c r="V32">
        <v>1046998</v>
      </c>
    </row>
    <row r="33" spans="1:22" ht="12.75">
      <c r="A33">
        <v>29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1</v>
      </c>
      <c r="J33">
        <v>2</v>
      </c>
      <c r="K33">
        <v>0</v>
      </c>
      <c r="L33">
        <v>0</v>
      </c>
      <c r="M33">
        <v>6</v>
      </c>
      <c r="N33">
        <v>3</v>
      </c>
      <c r="O33">
        <v>0</v>
      </c>
      <c r="P33">
        <v>1</v>
      </c>
      <c r="Q33">
        <v>2</v>
      </c>
      <c r="R33">
        <v>0</v>
      </c>
      <c r="S33">
        <v>1085951</v>
      </c>
      <c r="T33">
        <v>1085952</v>
      </c>
      <c r="U33">
        <v>1046997</v>
      </c>
      <c r="V33">
        <v>1046998</v>
      </c>
    </row>
    <row r="34" spans="1:20" ht="12.75">
      <c r="A34">
        <v>30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3</v>
      </c>
      <c r="K34">
        <v>0</v>
      </c>
      <c r="L34">
        <v>0</v>
      </c>
      <c r="M34">
        <v>6</v>
      </c>
      <c r="N34">
        <v>3</v>
      </c>
      <c r="O34">
        <v>0</v>
      </c>
      <c r="P34">
        <v>0</v>
      </c>
      <c r="Q34">
        <v>3</v>
      </c>
      <c r="R34">
        <v>0</v>
      </c>
      <c r="S34">
        <v>1085952</v>
      </c>
      <c r="T34">
        <v>1046998</v>
      </c>
    </row>
  </sheetData>
  <sheetProtection/>
  <conditionalFormatting sqref="B6:R34 S5:T5">
    <cfRule type="cellIs" priority="9" dxfId="0" operator="greaterThan" stopIfTrue="1">
      <formula>0</formula>
    </cfRule>
  </conditionalFormatting>
  <conditionalFormatting sqref="S6:S34 T6 T17:V17 T19:U19 T21:U21 T23:V23 T25:V25 T27:U27 T29:U30 U32:V33 T31:T34">
    <cfRule type="cellIs" priority="8" dxfId="0" operator="greaterThan" stopIfTrue="1">
      <formula>0</formula>
    </cfRule>
  </conditionalFormatting>
  <conditionalFormatting sqref="T8:T16 T18 T20 T22 T24 T26 T28">
    <cfRule type="cellIs" priority="6" dxfId="0" operator="greaterThan" stopIfTrue="1">
      <formula>0</formula>
    </cfRule>
  </conditionalFormatting>
  <conditionalFormatting sqref="T7">
    <cfRule type="cellIs" priority="5" dxfId="0" operator="greaterThan" stopIfTrue="1">
      <formula>0</formula>
    </cfRule>
  </conditionalFormatting>
  <conditionalFormatting sqref="Y12:Y15">
    <cfRule type="cellIs" priority="4" dxfId="0" operator="greaterThan" stopIfTrue="1">
      <formula>0</formula>
    </cfRule>
  </conditionalFormatting>
  <conditionalFormatting sqref="M5:Q5">
    <cfRule type="cellIs" priority="2" dxfId="0" operator="greaterThan" stopIfTrue="1">
      <formula>0</formula>
    </cfRule>
  </conditionalFormatting>
  <conditionalFormatting sqref="B5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D4" sqref="D1:D4"/>
    </sheetView>
  </sheetViews>
  <sheetFormatPr defaultColWidth="9.140625" defaultRowHeight="12.75"/>
  <sheetData>
    <row r="1" spans="1:3" ht="12.75">
      <c r="A1" s="5" t="s">
        <v>102</v>
      </c>
      <c r="B1">
        <v>0.15</v>
      </c>
      <c r="C1">
        <v>12</v>
      </c>
    </row>
    <row r="2" spans="1:3" ht="12.75">
      <c r="A2" s="5" t="s">
        <v>103</v>
      </c>
      <c r="B2">
        <v>0.15</v>
      </c>
      <c r="C2">
        <v>12</v>
      </c>
    </row>
    <row r="3" spans="1:3" ht="12.75">
      <c r="A3" s="5" t="s">
        <v>101</v>
      </c>
      <c r="B3">
        <v>0.15</v>
      </c>
      <c r="C3">
        <v>12</v>
      </c>
    </row>
    <row r="4" spans="1:3" ht="12.75">
      <c r="A4" s="5" t="s">
        <v>106</v>
      </c>
      <c r="B4">
        <v>0.15</v>
      </c>
      <c r="C4">
        <v>12</v>
      </c>
    </row>
    <row r="5" spans="1:3" ht="12.75">
      <c r="A5" s="5" t="s">
        <v>105</v>
      </c>
      <c r="B5">
        <v>0.1</v>
      </c>
      <c r="C5">
        <v>8.5</v>
      </c>
    </row>
    <row r="6" spans="1:3" ht="12.75">
      <c r="A6" s="5" t="s">
        <v>104</v>
      </c>
      <c r="B6">
        <v>0.3</v>
      </c>
      <c r="C6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W34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5" width="9.140625" style="0" customWidth="1"/>
    <col min="6" max="6" width="11.421875" style="0" customWidth="1"/>
    <col min="7" max="26" width="9.140625" style="0" customWidth="1"/>
  </cols>
  <sheetData>
    <row r="1" spans="1:20" ht="12.75">
      <c r="A1" s="12" t="s">
        <v>27</v>
      </c>
      <c r="T1" s="12" t="s">
        <v>28</v>
      </c>
    </row>
    <row r="2" spans="1:23" ht="12.75">
      <c r="A2" s="12">
        <v>1</v>
      </c>
      <c r="B2">
        <v>2</v>
      </c>
      <c r="C2" s="12">
        <v>3</v>
      </c>
      <c r="D2">
        <v>4</v>
      </c>
      <c r="E2" s="12">
        <v>5</v>
      </c>
      <c r="F2">
        <v>6</v>
      </c>
      <c r="G2" s="12">
        <v>7</v>
      </c>
      <c r="H2">
        <v>8</v>
      </c>
      <c r="I2" s="12">
        <v>9</v>
      </c>
      <c r="J2">
        <v>10</v>
      </c>
      <c r="K2" s="12">
        <v>11</v>
      </c>
      <c r="L2">
        <v>12</v>
      </c>
      <c r="M2" s="12">
        <v>13</v>
      </c>
      <c r="N2">
        <v>14</v>
      </c>
      <c r="O2" s="12">
        <v>15</v>
      </c>
      <c r="P2">
        <v>16</v>
      </c>
      <c r="Q2" s="12">
        <v>17</v>
      </c>
      <c r="R2">
        <v>18</v>
      </c>
      <c r="S2" s="12">
        <v>19</v>
      </c>
      <c r="T2">
        <v>20</v>
      </c>
      <c r="U2" s="12">
        <v>21</v>
      </c>
      <c r="V2">
        <v>22</v>
      </c>
      <c r="W2" s="12">
        <v>23</v>
      </c>
    </row>
    <row r="3" spans="2:15" ht="12.75">
      <c r="B3" s="4">
        <v>2</v>
      </c>
      <c r="C3" s="4">
        <v>3</v>
      </c>
      <c r="D3" s="4">
        <v>4</v>
      </c>
      <c r="E3" s="4">
        <v>5</v>
      </c>
      <c r="F3">
        <v>6</v>
      </c>
      <c r="G3" t="s">
        <v>12</v>
      </c>
      <c r="H3" t="s">
        <v>13</v>
      </c>
      <c r="I3" t="s">
        <v>79</v>
      </c>
      <c r="J3" t="s">
        <v>80</v>
      </c>
      <c r="K3" t="s">
        <v>14</v>
      </c>
      <c r="L3" t="s">
        <v>15</v>
      </c>
      <c r="M3" t="s">
        <v>16</v>
      </c>
      <c r="N3" t="s">
        <v>17</v>
      </c>
      <c r="O3" s="5"/>
    </row>
    <row r="4" spans="2:14" ht="12.75">
      <c r="B4">
        <v>1042471</v>
      </c>
      <c r="C4">
        <v>1030583</v>
      </c>
      <c r="D4">
        <v>1030584</v>
      </c>
      <c r="E4">
        <v>1030585</v>
      </c>
      <c r="F4">
        <v>6</v>
      </c>
      <c r="G4">
        <v>1038166</v>
      </c>
      <c r="H4">
        <v>1059132</v>
      </c>
      <c r="I4">
        <v>1009209</v>
      </c>
      <c r="J4">
        <v>1032702</v>
      </c>
      <c r="K4">
        <v>1046996</v>
      </c>
      <c r="L4">
        <v>1046997</v>
      </c>
      <c r="M4">
        <v>1046998</v>
      </c>
      <c r="N4">
        <v>1046999</v>
      </c>
    </row>
    <row r="5" spans="1:16" ht="12.75">
      <c r="A5">
        <v>1</v>
      </c>
      <c r="B5">
        <v>1</v>
      </c>
      <c r="C5">
        <v>0</v>
      </c>
      <c r="D5">
        <v>0</v>
      </c>
      <c r="E5">
        <v>0</v>
      </c>
      <c r="F5">
        <v>6</v>
      </c>
      <c r="G5">
        <v>2</v>
      </c>
      <c r="H5">
        <v>1</v>
      </c>
      <c r="I5">
        <v>1</v>
      </c>
      <c r="J5">
        <v>1</v>
      </c>
      <c r="K5">
        <v>1</v>
      </c>
      <c r="L5">
        <v>0</v>
      </c>
      <c r="M5">
        <v>0</v>
      </c>
      <c r="N5">
        <v>0</v>
      </c>
      <c r="O5">
        <v>1042471</v>
      </c>
      <c r="P5">
        <v>1046996</v>
      </c>
    </row>
    <row r="6" spans="1:16" ht="12.75">
      <c r="A6">
        <v>2</v>
      </c>
      <c r="B6">
        <v>2</v>
      </c>
      <c r="C6">
        <v>0</v>
      </c>
      <c r="D6">
        <v>0</v>
      </c>
      <c r="E6">
        <v>0</v>
      </c>
      <c r="F6">
        <v>6</v>
      </c>
      <c r="G6">
        <v>2</v>
      </c>
      <c r="H6">
        <v>1</v>
      </c>
      <c r="I6">
        <v>1</v>
      </c>
      <c r="J6">
        <v>1</v>
      </c>
      <c r="K6">
        <v>1</v>
      </c>
      <c r="L6">
        <v>0</v>
      </c>
      <c r="M6">
        <v>0</v>
      </c>
      <c r="N6">
        <v>0</v>
      </c>
      <c r="O6">
        <v>1042471</v>
      </c>
      <c r="P6">
        <v>1046996</v>
      </c>
    </row>
    <row r="7" spans="1:16" ht="12.75">
      <c r="A7">
        <v>3</v>
      </c>
      <c r="B7">
        <v>0</v>
      </c>
      <c r="C7">
        <v>1</v>
      </c>
      <c r="D7">
        <v>0</v>
      </c>
      <c r="E7">
        <v>0</v>
      </c>
      <c r="F7">
        <v>6</v>
      </c>
      <c r="G7">
        <v>2</v>
      </c>
      <c r="H7">
        <v>1</v>
      </c>
      <c r="I7">
        <v>1</v>
      </c>
      <c r="J7">
        <v>1</v>
      </c>
      <c r="K7">
        <v>1</v>
      </c>
      <c r="L7">
        <v>0</v>
      </c>
      <c r="M7">
        <v>0</v>
      </c>
      <c r="N7">
        <v>0</v>
      </c>
      <c r="O7">
        <v>1030583</v>
      </c>
      <c r="P7">
        <v>1046996</v>
      </c>
    </row>
    <row r="8" spans="1:16" ht="12.75">
      <c r="A8">
        <v>4</v>
      </c>
      <c r="B8">
        <v>0</v>
      </c>
      <c r="C8">
        <v>0</v>
      </c>
      <c r="D8">
        <v>1</v>
      </c>
      <c r="E8">
        <v>0</v>
      </c>
      <c r="F8">
        <v>6</v>
      </c>
      <c r="G8">
        <v>2</v>
      </c>
      <c r="H8">
        <v>1</v>
      </c>
      <c r="I8">
        <v>1</v>
      </c>
      <c r="J8">
        <v>1</v>
      </c>
      <c r="K8">
        <v>1</v>
      </c>
      <c r="L8">
        <v>0</v>
      </c>
      <c r="M8">
        <v>0</v>
      </c>
      <c r="N8">
        <v>0</v>
      </c>
      <c r="O8">
        <v>1030584</v>
      </c>
      <c r="P8">
        <v>1046996</v>
      </c>
    </row>
    <row r="9" spans="1:17" ht="12.75">
      <c r="A9">
        <v>5</v>
      </c>
      <c r="B9">
        <v>1</v>
      </c>
      <c r="C9">
        <v>0</v>
      </c>
      <c r="D9">
        <v>1</v>
      </c>
      <c r="E9">
        <v>0</v>
      </c>
      <c r="F9">
        <v>6</v>
      </c>
      <c r="G9">
        <v>2</v>
      </c>
      <c r="H9">
        <v>1</v>
      </c>
      <c r="I9">
        <v>1</v>
      </c>
      <c r="J9">
        <v>1</v>
      </c>
      <c r="K9">
        <v>1</v>
      </c>
      <c r="L9">
        <v>0</v>
      </c>
      <c r="M9">
        <v>0</v>
      </c>
      <c r="N9">
        <v>0</v>
      </c>
      <c r="O9">
        <v>1042471</v>
      </c>
      <c r="P9">
        <v>1030584</v>
      </c>
      <c r="Q9">
        <v>1046996</v>
      </c>
    </row>
    <row r="10" spans="1:16" ht="12.75">
      <c r="A10">
        <v>6</v>
      </c>
      <c r="B10">
        <v>0</v>
      </c>
      <c r="C10">
        <v>0</v>
      </c>
      <c r="D10">
        <v>0</v>
      </c>
      <c r="E10">
        <v>1</v>
      </c>
      <c r="F10">
        <v>6</v>
      </c>
      <c r="G10">
        <v>2</v>
      </c>
      <c r="H10">
        <v>1</v>
      </c>
      <c r="I10">
        <v>1</v>
      </c>
      <c r="J10">
        <v>1</v>
      </c>
      <c r="K10">
        <v>1</v>
      </c>
      <c r="L10">
        <v>0</v>
      </c>
      <c r="M10">
        <v>0</v>
      </c>
      <c r="N10">
        <v>0</v>
      </c>
      <c r="O10">
        <v>1030585</v>
      </c>
      <c r="P10">
        <v>1046996</v>
      </c>
    </row>
    <row r="11" spans="1:17" ht="12.75">
      <c r="A11">
        <v>7</v>
      </c>
      <c r="B11">
        <v>0</v>
      </c>
      <c r="C11">
        <v>1</v>
      </c>
      <c r="D11">
        <v>1</v>
      </c>
      <c r="E11">
        <v>0</v>
      </c>
      <c r="F11">
        <v>6</v>
      </c>
      <c r="G11">
        <v>2</v>
      </c>
      <c r="H11">
        <v>1</v>
      </c>
      <c r="I11">
        <v>1</v>
      </c>
      <c r="J11">
        <v>1</v>
      </c>
      <c r="K11">
        <v>0</v>
      </c>
      <c r="L11">
        <v>1</v>
      </c>
      <c r="M11">
        <v>0</v>
      </c>
      <c r="N11">
        <v>0</v>
      </c>
      <c r="O11">
        <v>1030583</v>
      </c>
      <c r="P11">
        <v>1030584</v>
      </c>
      <c r="Q11">
        <v>1046997</v>
      </c>
    </row>
    <row r="12" spans="1:16" ht="12.75">
      <c r="A12">
        <v>8</v>
      </c>
      <c r="B12">
        <v>0</v>
      </c>
      <c r="C12">
        <v>0</v>
      </c>
      <c r="D12">
        <v>2</v>
      </c>
      <c r="E12">
        <v>0</v>
      </c>
      <c r="F12">
        <v>6</v>
      </c>
      <c r="G12">
        <v>2</v>
      </c>
      <c r="H12">
        <v>1</v>
      </c>
      <c r="I12">
        <v>1</v>
      </c>
      <c r="J12">
        <v>1</v>
      </c>
      <c r="K12">
        <v>0</v>
      </c>
      <c r="L12">
        <v>1</v>
      </c>
      <c r="M12">
        <v>0</v>
      </c>
      <c r="N12">
        <v>0</v>
      </c>
      <c r="O12">
        <v>1030584</v>
      </c>
      <c r="P12">
        <v>1046997</v>
      </c>
    </row>
    <row r="13" spans="1:17" ht="12.75">
      <c r="A13">
        <v>9</v>
      </c>
      <c r="B13">
        <v>0</v>
      </c>
      <c r="C13">
        <v>1</v>
      </c>
      <c r="D13">
        <v>0</v>
      </c>
      <c r="E13">
        <v>1</v>
      </c>
      <c r="F13">
        <v>6</v>
      </c>
      <c r="G13">
        <v>2</v>
      </c>
      <c r="H13">
        <v>1</v>
      </c>
      <c r="I13">
        <v>1</v>
      </c>
      <c r="J13">
        <v>1</v>
      </c>
      <c r="K13">
        <v>0</v>
      </c>
      <c r="L13">
        <v>1</v>
      </c>
      <c r="M13">
        <v>0</v>
      </c>
      <c r="N13">
        <v>0</v>
      </c>
      <c r="O13">
        <v>1030583</v>
      </c>
      <c r="P13">
        <v>1030585</v>
      </c>
      <c r="Q13">
        <v>1046997</v>
      </c>
    </row>
    <row r="14" spans="1:17" ht="12.75">
      <c r="A14">
        <v>10</v>
      </c>
      <c r="B14">
        <v>0</v>
      </c>
      <c r="C14">
        <v>0</v>
      </c>
      <c r="D14">
        <v>1</v>
      </c>
      <c r="E14">
        <v>1</v>
      </c>
      <c r="F14">
        <v>6</v>
      </c>
      <c r="G14">
        <v>2</v>
      </c>
      <c r="H14">
        <v>1</v>
      </c>
      <c r="I14">
        <v>1</v>
      </c>
      <c r="J14">
        <v>1</v>
      </c>
      <c r="K14">
        <v>0</v>
      </c>
      <c r="L14">
        <v>0</v>
      </c>
      <c r="M14">
        <v>1</v>
      </c>
      <c r="N14">
        <v>0</v>
      </c>
      <c r="O14">
        <v>1030584</v>
      </c>
      <c r="P14">
        <v>1030585</v>
      </c>
      <c r="Q14">
        <v>1046998</v>
      </c>
    </row>
    <row r="15" spans="1:18" ht="12.75">
      <c r="A15">
        <v>11</v>
      </c>
      <c r="B15">
        <v>1</v>
      </c>
      <c r="C15">
        <v>0</v>
      </c>
      <c r="D15">
        <v>1</v>
      </c>
      <c r="E15">
        <v>1</v>
      </c>
      <c r="F15">
        <v>6</v>
      </c>
      <c r="G15">
        <v>2</v>
      </c>
      <c r="H15">
        <v>1</v>
      </c>
      <c r="I15">
        <v>1</v>
      </c>
      <c r="J15">
        <v>1</v>
      </c>
      <c r="K15">
        <v>0</v>
      </c>
      <c r="L15">
        <v>0</v>
      </c>
      <c r="M15">
        <v>0</v>
      </c>
      <c r="N15">
        <v>1</v>
      </c>
      <c r="O15">
        <v>1042471</v>
      </c>
      <c r="P15">
        <v>1030584</v>
      </c>
      <c r="Q15">
        <v>1030585</v>
      </c>
      <c r="R15">
        <v>1046999</v>
      </c>
    </row>
    <row r="16" spans="1:16" ht="12.75">
      <c r="A16">
        <v>12</v>
      </c>
      <c r="B16">
        <v>0</v>
      </c>
      <c r="C16">
        <v>0</v>
      </c>
      <c r="D16">
        <v>0</v>
      </c>
      <c r="E16">
        <v>2</v>
      </c>
      <c r="F16">
        <v>6</v>
      </c>
      <c r="G16">
        <v>2</v>
      </c>
      <c r="H16">
        <v>1</v>
      </c>
      <c r="I16">
        <v>1</v>
      </c>
      <c r="J16">
        <v>1</v>
      </c>
      <c r="K16">
        <v>0</v>
      </c>
      <c r="L16">
        <v>0</v>
      </c>
      <c r="M16">
        <v>0</v>
      </c>
      <c r="N16">
        <v>1</v>
      </c>
      <c r="O16">
        <v>1030585</v>
      </c>
      <c r="P16">
        <v>1046999</v>
      </c>
    </row>
    <row r="17" spans="1:18" ht="12.75">
      <c r="A17">
        <v>13</v>
      </c>
      <c r="B17">
        <v>1</v>
      </c>
      <c r="C17">
        <v>0</v>
      </c>
      <c r="D17">
        <v>0</v>
      </c>
      <c r="E17">
        <v>2</v>
      </c>
      <c r="F17">
        <v>6</v>
      </c>
      <c r="G17">
        <v>4</v>
      </c>
      <c r="H17">
        <v>2</v>
      </c>
      <c r="I17">
        <v>2</v>
      </c>
      <c r="J17">
        <v>2</v>
      </c>
      <c r="K17">
        <v>1</v>
      </c>
      <c r="L17">
        <v>1</v>
      </c>
      <c r="M17">
        <v>0</v>
      </c>
      <c r="N17">
        <v>0</v>
      </c>
      <c r="O17">
        <v>1042471</v>
      </c>
      <c r="P17">
        <v>1030585</v>
      </c>
      <c r="Q17">
        <v>1046996</v>
      </c>
      <c r="R17">
        <v>1046997</v>
      </c>
    </row>
    <row r="18" spans="1:17" ht="12.75">
      <c r="A18">
        <v>14</v>
      </c>
      <c r="B18">
        <v>2</v>
      </c>
      <c r="C18">
        <v>0</v>
      </c>
      <c r="D18">
        <v>0</v>
      </c>
      <c r="E18">
        <v>2</v>
      </c>
      <c r="F18">
        <v>6</v>
      </c>
      <c r="G18">
        <v>4</v>
      </c>
      <c r="H18">
        <v>2</v>
      </c>
      <c r="I18">
        <v>2</v>
      </c>
      <c r="J18">
        <v>2</v>
      </c>
      <c r="K18">
        <v>0</v>
      </c>
      <c r="L18">
        <v>2</v>
      </c>
      <c r="M18">
        <v>0</v>
      </c>
      <c r="N18">
        <v>0</v>
      </c>
      <c r="O18">
        <v>1042471</v>
      </c>
      <c r="P18">
        <v>1030585</v>
      </c>
      <c r="Q18">
        <v>1046997</v>
      </c>
    </row>
    <row r="19" spans="1:17" ht="12.75">
      <c r="A19">
        <v>15</v>
      </c>
      <c r="B19">
        <v>0</v>
      </c>
      <c r="C19">
        <v>1</v>
      </c>
      <c r="D19">
        <v>0</v>
      </c>
      <c r="E19">
        <v>2</v>
      </c>
      <c r="F19">
        <v>6</v>
      </c>
      <c r="G19">
        <v>4</v>
      </c>
      <c r="H19">
        <v>2</v>
      </c>
      <c r="I19">
        <v>2</v>
      </c>
      <c r="J19">
        <v>2</v>
      </c>
      <c r="K19">
        <v>0</v>
      </c>
      <c r="L19">
        <v>2</v>
      </c>
      <c r="M19">
        <v>0</v>
      </c>
      <c r="N19">
        <v>0</v>
      </c>
      <c r="O19">
        <v>1030583</v>
      </c>
      <c r="P19">
        <v>1030585</v>
      </c>
      <c r="Q19">
        <v>1046997</v>
      </c>
    </row>
    <row r="20" spans="1:17" ht="12.75">
      <c r="A20">
        <v>16</v>
      </c>
      <c r="B20">
        <v>0</v>
      </c>
      <c r="C20">
        <v>0</v>
      </c>
      <c r="D20">
        <v>1</v>
      </c>
      <c r="E20">
        <v>2</v>
      </c>
      <c r="F20">
        <v>6</v>
      </c>
      <c r="G20">
        <v>4</v>
      </c>
      <c r="H20">
        <v>2</v>
      </c>
      <c r="I20">
        <v>2</v>
      </c>
      <c r="J20">
        <v>2</v>
      </c>
      <c r="K20">
        <v>0</v>
      </c>
      <c r="L20">
        <v>2</v>
      </c>
      <c r="M20">
        <v>0</v>
      </c>
      <c r="N20">
        <v>0</v>
      </c>
      <c r="O20">
        <v>1030584</v>
      </c>
      <c r="P20">
        <v>1030585</v>
      </c>
      <c r="Q20">
        <v>1046997</v>
      </c>
    </row>
    <row r="21" spans="1:17" ht="12.75">
      <c r="A21">
        <v>17</v>
      </c>
      <c r="B21">
        <v>0</v>
      </c>
      <c r="C21">
        <v>0</v>
      </c>
      <c r="D21">
        <v>1</v>
      </c>
      <c r="E21">
        <v>2</v>
      </c>
      <c r="F21">
        <v>6</v>
      </c>
      <c r="G21">
        <v>4</v>
      </c>
      <c r="H21">
        <v>2</v>
      </c>
      <c r="I21">
        <v>2</v>
      </c>
      <c r="J21">
        <v>2</v>
      </c>
      <c r="K21">
        <v>0</v>
      </c>
      <c r="L21">
        <v>2</v>
      </c>
      <c r="M21">
        <v>0</v>
      </c>
      <c r="N21">
        <v>0</v>
      </c>
      <c r="O21">
        <v>1030584</v>
      </c>
      <c r="P21">
        <v>1030585</v>
      </c>
      <c r="Q21">
        <v>1046997</v>
      </c>
    </row>
    <row r="22" spans="1:16" ht="12.75">
      <c r="A22">
        <v>18</v>
      </c>
      <c r="B22">
        <v>0</v>
      </c>
      <c r="C22">
        <v>0</v>
      </c>
      <c r="D22">
        <v>0</v>
      </c>
      <c r="E22">
        <v>3</v>
      </c>
      <c r="F22">
        <v>6</v>
      </c>
      <c r="G22">
        <v>4</v>
      </c>
      <c r="H22">
        <v>2</v>
      </c>
      <c r="I22">
        <v>2</v>
      </c>
      <c r="J22">
        <v>2</v>
      </c>
      <c r="K22">
        <v>0</v>
      </c>
      <c r="L22">
        <v>2</v>
      </c>
      <c r="M22">
        <v>0</v>
      </c>
      <c r="N22">
        <v>0</v>
      </c>
      <c r="O22">
        <v>1030585</v>
      </c>
      <c r="P22">
        <v>1046997</v>
      </c>
    </row>
    <row r="23" spans="1:18" ht="12.75">
      <c r="A23">
        <v>19</v>
      </c>
      <c r="B23">
        <v>1</v>
      </c>
      <c r="C23">
        <v>0</v>
      </c>
      <c r="D23">
        <v>0</v>
      </c>
      <c r="E23">
        <v>3</v>
      </c>
      <c r="F23">
        <v>6</v>
      </c>
      <c r="G23">
        <v>4</v>
      </c>
      <c r="H23">
        <v>2</v>
      </c>
      <c r="I23">
        <v>2</v>
      </c>
      <c r="J23">
        <v>2</v>
      </c>
      <c r="K23">
        <v>0</v>
      </c>
      <c r="L23">
        <v>1</v>
      </c>
      <c r="M23">
        <v>1</v>
      </c>
      <c r="N23">
        <v>0</v>
      </c>
      <c r="O23">
        <v>1042471</v>
      </c>
      <c r="P23">
        <v>1030585</v>
      </c>
      <c r="Q23">
        <v>1046997</v>
      </c>
      <c r="R23">
        <v>1046998</v>
      </c>
    </row>
    <row r="24" spans="1:17" ht="12.75">
      <c r="A24">
        <v>20</v>
      </c>
      <c r="B24">
        <v>2</v>
      </c>
      <c r="C24">
        <v>0</v>
      </c>
      <c r="D24">
        <v>0</v>
      </c>
      <c r="E24">
        <v>3</v>
      </c>
      <c r="F24">
        <v>6</v>
      </c>
      <c r="G24">
        <v>4</v>
      </c>
      <c r="H24">
        <v>2</v>
      </c>
      <c r="I24">
        <v>2</v>
      </c>
      <c r="J24">
        <v>2</v>
      </c>
      <c r="K24">
        <v>0</v>
      </c>
      <c r="L24">
        <v>0</v>
      </c>
      <c r="M24">
        <v>2</v>
      </c>
      <c r="N24">
        <v>0</v>
      </c>
      <c r="O24">
        <v>1042471</v>
      </c>
      <c r="P24">
        <v>1030585</v>
      </c>
      <c r="Q24">
        <v>1046998</v>
      </c>
    </row>
    <row r="25" spans="1:18" ht="12.75">
      <c r="A25">
        <v>21</v>
      </c>
      <c r="B25">
        <v>0</v>
      </c>
      <c r="C25">
        <v>1</v>
      </c>
      <c r="D25">
        <v>0</v>
      </c>
      <c r="E25">
        <v>3</v>
      </c>
      <c r="F25">
        <v>6</v>
      </c>
      <c r="G25">
        <v>4</v>
      </c>
      <c r="H25">
        <v>2</v>
      </c>
      <c r="I25">
        <v>2</v>
      </c>
      <c r="J25">
        <v>2</v>
      </c>
      <c r="K25">
        <v>0</v>
      </c>
      <c r="L25">
        <v>0</v>
      </c>
      <c r="M25">
        <v>1</v>
      </c>
      <c r="N25">
        <v>1</v>
      </c>
      <c r="O25">
        <v>1030583</v>
      </c>
      <c r="P25">
        <v>1030585</v>
      </c>
      <c r="Q25">
        <v>1046998</v>
      </c>
      <c r="R25">
        <v>1046999</v>
      </c>
    </row>
    <row r="26" spans="1:17" ht="12.75">
      <c r="A26">
        <v>22</v>
      </c>
      <c r="B26">
        <v>0</v>
      </c>
      <c r="C26">
        <v>0</v>
      </c>
      <c r="D26">
        <v>1</v>
      </c>
      <c r="E26">
        <v>3</v>
      </c>
      <c r="F26">
        <v>6</v>
      </c>
      <c r="G26">
        <v>4</v>
      </c>
      <c r="H26">
        <v>2</v>
      </c>
      <c r="I26">
        <v>2</v>
      </c>
      <c r="J26">
        <v>2</v>
      </c>
      <c r="K26">
        <v>0</v>
      </c>
      <c r="L26">
        <v>0</v>
      </c>
      <c r="M26">
        <v>0</v>
      </c>
      <c r="N26">
        <v>2</v>
      </c>
      <c r="O26">
        <v>1030584</v>
      </c>
      <c r="P26">
        <v>1030585</v>
      </c>
      <c r="Q26">
        <v>1046999</v>
      </c>
    </row>
    <row r="27" spans="1:18" ht="12.75">
      <c r="A27">
        <v>23</v>
      </c>
      <c r="B27">
        <v>1</v>
      </c>
      <c r="C27">
        <v>0</v>
      </c>
      <c r="D27">
        <v>1</v>
      </c>
      <c r="E27">
        <v>3</v>
      </c>
      <c r="F27">
        <v>6</v>
      </c>
      <c r="G27">
        <v>4</v>
      </c>
      <c r="H27">
        <v>2</v>
      </c>
      <c r="I27">
        <v>2</v>
      </c>
      <c r="J27">
        <v>2</v>
      </c>
      <c r="K27">
        <v>0</v>
      </c>
      <c r="L27">
        <v>0</v>
      </c>
      <c r="M27">
        <v>0</v>
      </c>
      <c r="N27">
        <v>2</v>
      </c>
      <c r="O27">
        <v>1042471</v>
      </c>
      <c r="P27">
        <v>1030584</v>
      </c>
      <c r="Q27">
        <v>1030585</v>
      </c>
      <c r="R27">
        <v>1046999</v>
      </c>
    </row>
    <row r="28" spans="1:16" ht="12.75">
      <c r="A28">
        <v>24</v>
      </c>
      <c r="B28">
        <v>0</v>
      </c>
      <c r="C28">
        <v>0</v>
      </c>
      <c r="D28">
        <v>0</v>
      </c>
      <c r="E28">
        <v>4</v>
      </c>
      <c r="F28">
        <v>6</v>
      </c>
      <c r="G28">
        <v>4</v>
      </c>
      <c r="H28">
        <v>2</v>
      </c>
      <c r="I28">
        <v>2</v>
      </c>
      <c r="J28">
        <v>2</v>
      </c>
      <c r="K28">
        <v>0</v>
      </c>
      <c r="L28">
        <v>0</v>
      </c>
      <c r="M28">
        <v>0</v>
      </c>
      <c r="N28">
        <v>2</v>
      </c>
      <c r="O28">
        <v>1030585</v>
      </c>
      <c r="P28">
        <v>1046999</v>
      </c>
    </row>
    <row r="29" spans="1:17" ht="12.75">
      <c r="A29">
        <v>25</v>
      </c>
      <c r="B29">
        <v>1</v>
      </c>
      <c r="C29">
        <v>0</v>
      </c>
      <c r="D29">
        <v>0</v>
      </c>
      <c r="E29">
        <v>4</v>
      </c>
      <c r="F29">
        <v>6</v>
      </c>
      <c r="G29">
        <v>6</v>
      </c>
      <c r="H29">
        <v>3</v>
      </c>
      <c r="I29">
        <v>3</v>
      </c>
      <c r="J29">
        <v>3</v>
      </c>
      <c r="K29">
        <v>0</v>
      </c>
      <c r="L29">
        <v>3</v>
      </c>
      <c r="M29">
        <v>0</v>
      </c>
      <c r="N29">
        <v>0</v>
      </c>
      <c r="O29">
        <v>1042471</v>
      </c>
      <c r="P29">
        <v>1030585</v>
      </c>
      <c r="Q29">
        <v>1046997</v>
      </c>
    </row>
    <row r="30" spans="1:17" ht="12.75">
      <c r="A30">
        <v>26</v>
      </c>
      <c r="B30">
        <v>2</v>
      </c>
      <c r="C30">
        <v>0</v>
      </c>
      <c r="D30">
        <v>0</v>
      </c>
      <c r="E30">
        <v>4</v>
      </c>
      <c r="F30">
        <v>6</v>
      </c>
      <c r="G30">
        <v>6</v>
      </c>
      <c r="H30">
        <v>3</v>
      </c>
      <c r="I30">
        <v>3</v>
      </c>
      <c r="J30">
        <v>3</v>
      </c>
      <c r="K30">
        <v>0</v>
      </c>
      <c r="L30">
        <v>3</v>
      </c>
      <c r="M30">
        <v>0</v>
      </c>
      <c r="N30">
        <v>0</v>
      </c>
      <c r="O30">
        <v>1042471</v>
      </c>
      <c r="P30">
        <v>1030585</v>
      </c>
      <c r="Q30">
        <v>1046997</v>
      </c>
    </row>
    <row r="31" spans="1:17" ht="12.75">
      <c r="A31">
        <v>27</v>
      </c>
      <c r="B31">
        <v>0</v>
      </c>
      <c r="C31">
        <v>1</v>
      </c>
      <c r="D31">
        <v>0</v>
      </c>
      <c r="E31">
        <v>4</v>
      </c>
      <c r="F31">
        <v>6</v>
      </c>
      <c r="G31">
        <v>6</v>
      </c>
      <c r="H31">
        <v>3</v>
      </c>
      <c r="I31">
        <v>3</v>
      </c>
      <c r="J31">
        <v>3</v>
      </c>
      <c r="K31">
        <v>0</v>
      </c>
      <c r="L31">
        <v>3</v>
      </c>
      <c r="M31">
        <v>0</v>
      </c>
      <c r="N31">
        <v>0</v>
      </c>
      <c r="O31">
        <v>1030583</v>
      </c>
      <c r="P31">
        <v>1030585</v>
      </c>
      <c r="Q31">
        <v>1046997</v>
      </c>
    </row>
    <row r="32" spans="1:18" ht="12.75">
      <c r="A32">
        <v>28</v>
      </c>
      <c r="B32">
        <v>0</v>
      </c>
      <c r="C32">
        <v>0</v>
      </c>
      <c r="D32">
        <v>1</v>
      </c>
      <c r="E32">
        <v>4</v>
      </c>
      <c r="F32">
        <v>6</v>
      </c>
      <c r="G32">
        <v>6</v>
      </c>
      <c r="H32">
        <v>3</v>
      </c>
      <c r="I32">
        <v>3</v>
      </c>
      <c r="J32">
        <v>3</v>
      </c>
      <c r="K32">
        <v>0</v>
      </c>
      <c r="L32">
        <v>2</v>
      </c>
      <c r="M32">
        <v>1</v>
      </c>
      <c r="N32">
        <v>0</v>
      </c>
      <c r="O32">
        <v>1030584</v>
      </c>
      <c r="P32">
        <v>1030585</v>
      </c>
      <c r="Q32">
        <v>1046997</v>
      </c>
      <c r="R32">
        <v>1046998</v>
      </c>
    </row>
    <row r="33" spans="1:19" ht="12.75">
      <c r="A33">
        <v>29</v>
      </c>
      <c r="B33">
        <v>1</v>
      </c>
      <c r="C33">
        <v>0</v>
      </c>
      <c r="D33">
        <v>1</v>
      </c>
      <c r="E33">
        <v>4</v>
      </c>
      <c r="F33">
        <v>6</v>
      </c>
      <c r="G33">
        <v>6</v>
      </c>
      <c r="H33">
        <v>3</v>
      </c>
      <c r="I33">
        <v>3</v>
      </c>
      <c r="J33">
        <v>3</v>
      </c>
      <c r="K33">
        <v>0</v>
      </c>
      <c r="L33">
        <v>1</v>
      </c>
      <c r="M33">
        <v>2</v>
      </c>
      <c r="N33">
        <v>0</v>
      </c>
      <c r="O33">
        <v>1042471</v>
      </c>
      <c r="P33">
        <v>1030584</v>
      </c>
      <c r="Q33">
        <v>1030585</v>
      </c>
      <c r="R33">
        <v>1046997</v>
      </c>
      <c r="S33">
        <v>1046998</v>
      </c>
    </row>
    <row r="34" spans="1:16" ht="12.75">
      <c r="A34">
        <v>30</v>
      </c>
      <c r="B34">
        <v>0</v>
      </c>
      <c r="C34">
        <v>0</v>
      </c>
      <c r="D34">
        <v>0</v>
      </c>
      <c r="E34">
        <v>5</v>
      </c>
      <c r="F34">
        <v>6</v>
      </c>
      <c r="G34">
        <v>6</v>
      </c>
      <c r="H34">
        <v>3</v>
      </c>
      <c r="I34">
        <v>3</v>
      </c>
      <c r="J34">
        <v>3</v>
      </c>
      <c r="K34">
        <v>0</v>
      </c>
      <c r="L34">
        <v>0</v>
      </c>
      <c r="M34">
        <v>3</v>
      </c>
      <c r="N34">
        <v>0</v>
      </c>
      <c r="O34">
        <v>1030585</v>
      </c>
      <c r="P34">
        <v>1046998</v>
      </c>
    </row>
  </sheetData>
  <sheetProtection/>
  <conditionalFormatting sqref="B6:E34 G6:N34">
    <cfRule type="cellIs" priority="17" dxfId="0" operator="greaterThan" stopIfTrue="1">
      <formula>0</formula>
    </cfRule>
  </conditionalFormatting>
  <conditionalFormatting sqref="P17 P19 P21 P23 P25 P27:Q27 P33:Q33 P29:P32">
    <cfRule type="cellIs" priority="16" dxfId="0" operator="greaterThan" stopIfTrue="1">
      <formula>0</formula>
    </cfRule>
  </conditionalFormatting>
  <conditionalFormatting sqref="P11">
    <cfRule type="cellIs" priority="13" dxfId="0" operator="greaterThan" stopIfTrue="1">
      <formula>0</formula>
    </cfRule>
  </conditionalFormatting>
  <conditionalFormatting sqref="P9">
    <cfRule type="cellIs" priority="12" dxfId="0" operator="greaterThan" stopIfTrue="1">
      <formula>0</formula>
    </cfRule>
  </conditionalFormatting>
  <conditionalFormatting sqref="P15">
    <cfRule type="cellIs" priority="11" dxfId="0" operator="greaterThan" stopIfTrue="1">
      <formula>0</formula>
    </cfRule>
  </conditionalFormatting>
  <conditionalFormatting sqref="P13">
    <cfRule type="cellIs" priority="10" dxfId="0" operator="greaterThan" stopIfTrue="1">
      <formula>0</formula>
    </cfRule>
  </conditionalFormatting>
  <conditionalFormatting sqref="P14">
    <cfRule type="cellIs" priority="9" dxfId="0" operator="greaterThan" stopIfTrue="1">
      <formula>0</formula>
    </cfRule>
  </conditionalFormatting>
  <conditionalFormatting sqref="Q15">
    <cfRule type="cellIs" priority="8" dxfId="0" operator="greaterThan" stopIfTrue="1">
      <formula>0</formula>
    </cfRule>
  </conditionalFormatting>
  <conditionalFormatting sqref="P18">
    <cfRule type="cellIs" priority="7" dxfId="0" operator="greaterThan" stopIfTrue="1">
      <formula>0</formula>
    </cfRule>
  </conditionalFormatting>
  <conditionalFormatting sqref="P20">
    <cfRule type="cellIs" priority="6" dxfId="0" operator="greaterThan" stopIfTrue="1">
      <formula>0</formula>
    </cfRule>
  </conditionalFormatting>
  <conditionalFormatting sqref="P24">
    <cfRule type="cellIs" priority="5" dxfId="0" operator="greaterThan" stopIfTrue="1">
      <formula>0</formula>
    </cfRule>
  </conditionalFormatting>
  <conditionalFormatting sqref="P26">
    <cfRule type="cellIs" priority="4" dxfId="0" operator="greaterThan" stopIfTrue="1">
      <formula>0</formula>
    </cfRule>
  </conditionalFormatting>
  <conditionalFormatting sqref="O4:T11 O21:T34 O12:S20">
    <cfRule type="cellIs" priority="3" dxfId="0" operator="greaterThan" stopIfTrue="1">
      <formula>0</formula>
    </cfRule>
  </conditionalFormatting>
  <conditionalFormatting sqref="G5:K5">
    <cfRule type="cellIs" priority="2" dxfId="0" operator="greaterThan" stopIfTrue="1">
      <formula>0</formula>
    </cfRule>
  </conditionalFormatting>
  <conditionalFormatting sqref="B5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R70"/>
  <sheetViews>
    <sheetView zoomScalePageLayoutView="0" workbookViewId="0" topLeftCell="B1">
      <selection activeCell="E20" sqref="E20"/>
    </sheetView>
  </sheetViews>
  <sheetFormatPr defaultColWidth="9.140625" defaultRowHeight="12.75"/>
  <cols>
    <col min="1" max="1" width="9.140625" style="0" customWidth="1"/>
    <col min="2" max="2" width="57.57421875" style="0" customWidth="1"/>
    <col min="3" max="4" width="9.140625" style="0" customWidth="1"/>
    <col min="5" max="5" width="57.57421875" style="0" customWidth="1"/>
    <col min="6" max="6" width="10.28125" style="0" customWidth="1"/>
    <col min="7" max="9" width="8.00390625" style="0" customWidth="1"/>
    <col min="10" max="10" width="16.8515625" style="0" customWidth="1"/>
    <col min="11" max="12" width="8.00390625" style="0" customWidth="1"/>
    <col min="13" max="13" width="8.421875" style="0" customWidth="1"/>
    <col min="14" max="14" width="8.00390625" style="0" customWidth="1"/>
    <col min="15" max="15" width="16.8515625" style="0" customWidth="1"/>
    <col min="16" max="16" width="8.00390625" style="0" customWidth="1"/>
    <col min="17" max="20" width="9.140625" style="0" customWidth="1"/>
  </cols>
  <sheetData>
    <row r="1" spans="1:10" ht="12.75">
      <c r="A1" s="13" t="s">
        <v>26</v>
      </c>
      <c r="B1" s="11"/>
      <c r="D1" s="12" t="s">
        <v>24</v>
      </c>
      <c r="J1" s="12" t="s">
        <v>25</v>
      </c>
    </row>
    <row r="3" spans="1:18" ht="12.75">
      <c r="A3" t="s">
        <v>0</v>
      </c>
      <c r="D3">
        <v>1063289</v>
      </c>
      <c r="E3" s="5" t="s">
        <v>76</v>
      </c>
      <c r="F3">
        <f>Processzor!$B$3/0.1</f>
        <v>0</v>
      </c>
      <c r="G3" s="5" t="s">
        <v>21</v>
      </c>
      <c r="H3">
        <v>240</v>
      </c>
      <c r="J3" t="s">
        <v>0</v>
      </c>
      <c r="K3" t="s">
        <v>8</v>
      </c>
      <c r="L3" t="s">
        <v>9</v>
      </c>
      <c r="M3" t="s">
        <v>3</v>
      </c>
      <c r="N3" t="s">
        <v>10</v>
      </c>
      <c r="O3" t="s">
        <v>11</v>
      </c>
      <c r="P3" t="s">
        <v>19</v>
      </c>
      <c r="Q3" t="s">
        <v>69</v>
      </c>
      <c r="R3" s="5" t="s">
        <v>74</v>
      </c>
    </row>
    <row r="4" spans="1:18" ht="12.75">
      <c r="A4">
        <v>1005261</v>
      </c>
      <c r="B4" s="5" t="str">
        <f>VLOOKUP(A4,$D$3:$E$47,2,FALSE)</f>
        <v>Uponor Minitec rendszerlemez 1100x700x12mm</v>
      </c>
      <c r="D4">
        <v>1062884</v>
      </c>
      <c r="E4" s="5" t="s">
        <v>33</v>
      </c>
      <c r="F4" s="6">
        <f>Processzor!$B$3/0.15</f>
        <v>0</v>
      </c>
      <c r="G4" s="5" t="s">
        <v>21</v>
      </c>
      <c r="H4">
        <v>240</v>
      </c>
      <c r="J4">
        <f>A4</f>
        <v>1005261</v>
      </c>
      <c r="K4">
        <f aca="true" t="shared" si="0" ref="K4:K9">A11</f>
        <v>1005485</v>
      </c>
      <c r="L4">
        <f>A19</f>
        <v>1062045</v>
      </c>
      <c r="M4">
        <f aca="true" t="shared" si="1" ref="M4:M11">A26</f>
        <v>1061171</v>
      </c>
      <c r="N4">
        <f aca="true" t="shared" si="2" ref="N4:N9">A36</f>
        <v>1090924</v>
      </c>
      <c r="O4">
        <f aca="true" t="shared" si="3" ref="O4:O10">A44</f>
        <v>1005274</v>
      </c>
      <c r="P4">
        <v>1062045</v>
      </c>
      <c r="Q4">
        <v>1009230</v>
      </c>
      <c r="R4">
        <v>1090937</v>
      </c>
    </row>
    <row r="5" spans="1:18" ht="12.75">
      <c r="A5">
        <v>1063289</v>
      </c>
      <c r="B5" s="5" t="str">
        <f>VLOOKUP(A5,$D$3:$E$47,2,FALSE)</f>
        <v>Uponor Minitec Comfort cső 9.9x1.1 240m</v>
      </c>
      <c r="D5">
        <v>1062045</v>
      </c>
      <c r="E5" s="5" t="s">
        <v>34</v>
      </c>
      <c r="F5" s="6">
        <f>Processzor!$J$6/(VLOOKUP(Tétellista!G22,'Helyiség típusok'!$A$1:$B$20,2,FALSE))+Processzor!$J$7/(VLOOKUP(Tétellista!G23,'Helyiség típusok'!$A$1:$B$20,2,FALSE))+Processzor!$J$8/(VLOOKUP(Tétellista!G24,'Helyiség típusok'!$A$1:$B$20,2,FALSE))+Processzor!$J$9/(VLOOKUP(Tétellista!G25,'Helyiség típusok'!$A$1:$B$20,2,FALSE))+Processzor!$J$10/(VLOOKUP(Tétellista!G26,'Helyiség típusok'!$A$1:$B$20,2,FALSE))+Processzor!$J$11/(VLOOKUP(Tétellista!G27,'Helyiség típusok'!$A$1:$B$20,2,FALSE))</f>
        <v>0</v>
      </c>
      <c r="G5" s="5" t="s">
        <v>21</v>
      </c>
      <c r="H5">
        <v>240</v>
      </c>
      <c r="J5">
        <f>A5</f>
        <v>1063289</v>
      </c>
      <c r="K5">
        <f t="shared" si="0"/>
        <v>1005486</v>
      </c>
      <c r="L5">
        <f>A20</f>
        <v>1005049</v>
      </c>
      <c r="M5">
        <f t="shared" si="1"/>
        <v>1061172</v>
      </c>
      <c r="N5">
        <f t="shared" si="2"/>
        <v>1086529</v>
      </c>
      <c r="O5">
        <f t="shared" si="3"/>
        <v>1063289</v>
      </c>
      <c r="P5">
        <v>1005477</v>
      </c>
      <c r="Q5">
        <v>1065290</v>
      </c>
      <c r="R5">
        <v>1039950</v>
      </c>
    </row>
    <row r="6" spans="1:18" ht="12.75">
      <c r="A6">
        <v>1005267</v>
      </c>
      <c r="B6" s="5" t="str">
        <f>VLOOKUP(A6,$D$3:$E$47,2,FALSE)</f>
        <v>Uponor Minitec szegélyszigetelés 80x8 mm 20m </v>
      </c>
      <c r="D6">
        <v>1009226</v>
      </c>
      <c r="E6" s="5" t="s">
        <v>75</v>
      </c>
      <c r="F6" s="6">
        <f>Processzor!$J$6/(VLOOKUP(Tétellista!G22,'Helyiség típusok'!$A$1:$B$20,2,FALSE))+Processzor!$J$7/(VLOOKUP(Tétellista!G23,'Helyiség típusok'!$A$1:$B$20,2,FALSE))+Processzor!$J$8/(VLOOKUP(Tétellista!G24,'Helyiség típusok'!$A$1:$B$20,2,FALSE))+Processzor!$J$9/(VLOOKUP(Tétellista!G25,'Helyiség típusok'!$A$1:$B$20,2,FALSE))+Processzor!$J$10/(VLOOKUP(Tétellista!G26,'Helyiség típusok'!$A$1:$B$20,2,FALSE))+Processzor!$J$11/(VLOOKUP(Tétellista!G27,'Helyiség típusok'!$A$1:$B$20,2,FALSE))</f>
        <v>0</v>
      </c>
      <c r="G6" s="5" t="s">
        <v>21</v>
      </c>
      <c r="H6">
        <v>240</v>
      </c>
      <c r="J6">
        <f>A6</f>
        <v>1005267</v>
      </c>
      <c r="K6">
        <f t="shared" si="0"/>
        <v>1005049</v>
      </c>
      <c r="L6">
        <f>A21</f>
        <v>1000080</v>
      </c>
      <c r="M6">
        <f t="shared" si="1"/>
        <v>1005264</v>
      </c>
      <c r="N6">
        <f t="shared" si="2"/>
        <v>1062045</v>
      </c>
      <c r="O6">
        <f t="shared" si="3"/>
        <v>1020543</v>
      </c>
      <c r="P6">
        <v>1000080</v>
      </c>
      <c r="Q6">
        <v>1012864</v>
      </c>
      <c r="R6">
        <v>1039937</v>
      </c>
    </row>
    <row r="7" spans="1:18" ht="12.75">
      <c r="A7">
        <v>1013426</v>
      </c>
      <c r="B7" s="5" t="str">
        <f>VLOOKUP(A7,$D$3:$E$47,2,FALSE)</f>
        <v>Uponor Minitec szorítógyűrűs csavarzat 9,9×1,1-3/4"</v>
      </c>
      <c r="D7">
        <v>1009230</v>
      </c>
      <c r="E7" s="5" t="s">
        <v>35</v>
      </c>
      <c r="F7" s="6">
        <f>Processzor!$B$3/0.15</f>
        <v>0</v>
      </c>
      <c r="G7" s="5" t="s">
        <v>21</v>
      </c>
      <c r="H7">
        <v>240</v>
      </c>
      <c r="J7">
        <f>A7</f>
        <v>1013426</v>
      </c>
      <c r="K7">
        <f t="shared" si="0"/>
        <v>1062884</v>
      </c>
      <c r="L7">
        <f>A22</f>
        <v>1065284</v>
      </c>
      <c r="M7">
        <f t="shared" si="1"/>
        <v>1020518</v>
      </c>
      <c r="N7">
        <f t="shared" si="2"/>
        <v>1000080</v>
      </c>
      <c r="O7">
        <f t="shared" si="3"/>
        <v>1020518</v>
      </c>
      <c r="P7">
        <v>1065284</v>
      </c>
      <c r="Q7">
        <v>1005376</v>
      </c>
      <c r="R7">
        <v>1039933</v>
      </c>
    </row>
    <row r="8" spans="1:18" ht="12.75">
      <c r="A8">
        <v>1063781</v>
      </c>
      <c r="B8" s="5" t="str">
        <f>VLOOKUP(A8,$D$3:$E$47,2,FALSE)</f>
        <v>Uponor Multi műanyag csőrögzítő ív 9,9</v>
      </c>
      <c r="D8">
        <v>1020543</v>
      </c>
      <c r="E8" s="5" t="s">
        <v>36</v>
      </c>
      <c r="F8">
        <f>IF(Processzor!$B$1="Renovis",$M$19*30,IF(Processzor!$B$1="Minitec Mennyezet",$M$21*30,0))</f>
        <v>0</v>
      </c>
      <c r="G8" s="5" t="s">
        <v>21</v>
      </c>
      <c r="H8">
        <v>60</v>
      </c>
      <c r="J8">
        <f>A8</f>
        <v>1063781</v>
      </c>
      <c r="K8">
        <f t="shared" si="0"/>
        <v>1065283</v>
      </c>
      <c r="L8">
        <f>A23</f>
        <v>1009004</v>
      </c>
      <c r="M8">
        <f t="shared" si="1"/>
        <v>1020524</v>
      </c>
      <c r="N8">
        <f t="shared" si="2"/>
        <v>1065284</v>
      </c>
      <c r="O8">
        <f t="shared" si="3"/>
        <v>1020524</v>
      </c>
      <c r="P8">
        <v>1009004</v>
      </c>
      <c r="R8">
        <v>1063557</v>
      </c>
    </row>
    <row r="9" spans="2:15" ht="14.25">
      <c r="B9" s="5"/>
      <c r="D9">
        <v>1005261</v>
      </c>
      <c r="E9" s="5" t="s">
        <v>37</v>
      </c>
      <c r="F9">
        <f>Processzor!$B$3</f>
        <v>0</v>
      </c>
      <c r="G9" s="5" t="s">
        <v>23</v>
      </c>
      <c r="H9">
        <v>15.4</v>
      </c>
      <c r="K9">
        <f t="shared" si="0"/>
        <v>1009004</v>
      </c>
      <c r="M9">
        <f t="shared" si="1"/>
        <v>1020543</v>
      </c>
      <c r="N9">
        <f t="shared" si="2"/>
        <v>1009004</v>
      </c>
      <c r="O9">
        <f t="shared" si="3"/>
        <v>1065290</v>
      </c>
    </row>
    <row r="10" spans="1:15" ht="12.75">
      <c r="A10" t="s">
        <v>8</v>
      </c>
      <c r="B10" s="5"/>
      <c r="D10">
        <v>1005267</v>
      </c>
      <c r="E10" s="5" t="s">
        <v>38</v>
      </c>
      <c r="F10">
        <f>Processzor!$B$3</f>
        <v>0</v>
      </c>
      <c r="G10" s="5" t="s">
        <v>21</v>
      </c>
      <c r="H10">
        <v>20</v>
      </c>
      <c r="M10">
        <f t="shared" si="1"/>
        <v>1065290</v>
      </c>
      <c r="O10">
        <f t="shared" si="3"/>
        <v>1009233</v>
      </c>
    </row>
    <row r="11" spans="1:13" ht="14.25">
      <c r="A11">
        <v>1005485</v>
      </c>
      <c r="B11" s="5" t="str">
        <f aca="true" t="shared" si="4" ref="B11:B16">VLOOKUP(A11,$D$3:$E$47,2,FALSE)</f>
        <v>Uponor Siccus rendszerlemez 1197x1050x25mm</v>
      </c>
      <c r="D11">
        <v>1005485</v>
      </c>
      <c r="E11" s="5" t="s">
        <v>39</v>
      </c>
      <c r="F11">
        <f>Processzor!$B$3</f>
        <v>0</v>
      </c>
      <c r="G11" s="5" t="s">
        <v>23</v>
      </c>
      <c r="H11">
        <v>12.5</v>
      </c>
      <c r="M11">
        <f t="shared" si="1"/>
        <v>1009233</v>
      </c>
    </row>
    <row r="12" spans="1:8" ht="12.75">
      <c r="A12">
        <v>1005486</v>
      </c>
      <c r="B12" s="5" t="str">
        <f t="shared" si="4"/>
        <v>Uponor Siccus hőelosztó lemez </v>
      </c>
      <c r="D12">
        <v>1005486</v>
      </c>
      <c r="E12" s="5" t="s">
        <v>40</v>
      </c>
      <c r="F12">
        <f>Processzor!$B$3*5</f>
        <v>0</v>
      </c>
      <c r="G12" s="5" t="s">
        <v>22</v>
      </c>
      <c r="H12">
        <v>48</v>
      </c>
    </row>
    <row r="13" spans="1:10" ht="14.25">
      <c r="A13">
        <v>1005049</v>
      </c>
      <c r="B13" s="5" t="str">
        <f t="shared" si="4"/>
        <v>Uponor Multi fólia PE, 0,2mm, 60x1,25m 75m2 </v>
      </c>
      <c r="D13">
        <v>1005049</v>
      </c>
      <c r="E13" s="5" t="s">
        <v>41</v>
      </c>
      <c r="F13">
        <f>Processzor!$B$3</f>
        <v>0</v>
      </c>
      <c r="G13" s="5" t="s">
        <v>23</v>
      </c>
      <c r="H13">
        <v>75</v>
      </c>
      <c r="J13" s="12" t="s">
        <v>112</v>
      </c>
    </row>
    <row r="14" spans="1:8" ht="12.75">
      <c r="A14">
        <v>1062884</v>
      </c>
      <c r="B14" s="5" t="str">
        <f t="shared" si="4"/>
        <v>Uponor Comfort Plus cső 14x2,0 240m</v>
      </c>
      <c r="D14">
        <v>1000080</v>
      </c>
      <c r="E14" s="5" t="s">
        <v>42</v>
      </c>
      <c r="F14">
        <f>Processzor!$B$3</f>
        <v>0</v>
      </c>
      <c r="G14" s="5" t="s">
        <v>21</v>
      </c>
      <c r="H14">
        <v>50</v>
      </c>
    </row>
    <row r="15" spans="1:13" ht="12.75">
      <c r="A15">
        <v>1065283</v>
      </c>
      <c r="B15" s="5" t="str">
        <f t="shared" si="4"/>
        <v>Uponor Vario PE-Xa Eurokónuszos csavarzat 14x2,0-3/4"</v>
      </c>
      <c r="D15">
        <v>1061171</v>
      </c>
      <c r="E15" s="5" t="s">
        <v>43</v>
      </c>
      <c r="F15">
        <f>ROUND(Processzor!$B$3*0.9/1.25,0)</f>
        <v>0</v>
      </c>
      <c r="G15" s="5" t="s">
        <v>22</v>
      </c>
      <c r="H15">
        <v>1</v>
      </c>
      <c r="L15">
        <v>0.85</v>
      </c>
      <c r="M15" s="5" t="s">
        <v>18</v>
      </c>
    </row>
    <row r="16" spans="1:13" ht="12.75">
      <c r="A16">
        <v>1009004</v>
      </c>
      <c r="B16" s="5" t="str">
        <f t="shared" si="4"/>
        <v>Uponor Multi acél csővezető ív 14-16</v>
      </c>
      <c r="D16">
        <v>1061172</v>
      </c>
      <c r="E16" s="5" t="s">
        <v>44</v>
      </c>
      <c r="F16">
        <f>ROUND(Processzor!$B$3*0.1/0.75,0)</f>
        <v>0</v>
      </c>
      <c r="G16" s="5" t="s">
        <v>22</v>
      </c>
      <c r="H16">
        <v>1</v>
      </c>
      <c r="J16" s="5" t="s">
        <v>0</v>
      </c>
      <c r="K16">
        <v>5</v>
      </c>
      <c r="L16" s="6">
        <f aca="true" t="shared" si="5" ref="L16:L24">K16*$L$15</f>
        <v>4.25</v>
      </c>
      <c r="M16">
        <f>IF(Processzor!$J$6=0,0,ROUNDUP(Processzor!$J$6/L16,0))+IF(Processzor!$J$7=0,0,ROUNDUP(Processzor!$J$7/L16,0))+IF(Processzor!$J$8=0,0,ROUNDUP(Processzor!$J$8/L16,0))+IF(Processzor!$J$9=0,0,ROUNDUP(Processzor!$J$9/L16,0))+IF(Processzor!$J$10=0,0,ROUNDUP(Processzor!$J$10/L16,0))+IF(Processzor!$J$11=0,0,ROUNDUP(Processzor!$J$11/L16,0))</f>
        <v>0</v>
      </c>
    </row>
    <row r="17" spans="2:13" ht="12.75">
      <c r="B17" s="5"/>
      <c r="D17">
        <v>1005264</v>
      </c>
      <c r="E17" s="5" t="s">
        <v>45</v>
      </c>
      <c r="F17">
        <f>IF(Processzor!$B$1="Renovis",ROUND($F$15/3*2,-1),IF(Processzor!$B$1="Minitec Mennyezet",10,0))</f>
        <v>0</v>
      </c>
      <c r="G17" s="5" t="s">
        <v>22</v>
      </c>
      <c r="H17">
        <v>10</v>
      </c>
      <c r="J17" s="5" t="s">
        <v>8</v>
      </c>
      <c r="K17">
        <v>12</v>
      </c>
      <c r="L17" s="6">
        <f t="shared" si="5"/>
        <v>10.2</v>
      </c>
      <c r="M17">
        <f>IF(Processzor!$J$6=0,0,ROUNDUP(Processzor!$J$6/L17,0))+IF(Processzor!$J$7=0,0,ROUNDUP(Processzor!$J$7/L17,0))+IF(Processzor!$J$8=0,0,ROUNDUP(Processzor!$J$8/L17,0))+IF(Processzor!$J$9=0,0,ROUNDUP(Processzor!$J$9/L17,0))+IF(Processzor!$J$10=0,0,ROUNDUP(Processzor!$J$10/L17,0))+IF(Processzor!$J$11=0,0,ROUNDUP(Processzor!$J$11/L17,0))</f>
        <v>0</v>
      </c>
    </row>
    <row r="18" spans="1:13" ht="12.75">
      <c r="A18" t="s">
        <v>9</v>
      </c>
      <c r="B18" s="5"/>
      <c r="D18">
        <v>1020518</v>
      </c>
      <c r="E18" s="5" t="s">
        <v>46</v>
      </c>
      <c r="F18">
        <f>IF(Processzor!$B$1="Renovis",ROUND(Processzor!$B$3/$L$19,0)*2,ROUND(Processzor!$B$3/$L$21,0)*2)</f>
        <v>0</v>
      </c>
      <c r="G18" s="5" t="s">
        <v>22</v>
      </c>
      <c r="H18">
        <v>5</v>
      </c>
      <c r="J18" s="5" t="s">
        <v>9</v>
      </c>
      <c r="K18">
        <v>14</v>
      </c>
      <c r="L18" s="6">
        <f t="shared" si="5"/>
        <v>11.9</v>
      </c>
      <c r="M18">
        <f>IF(Processzor!$J$6=0,0,ROUNDUP(Processzor!$J$6/VLOOKUP(Tétellista!$G$22,'Helyiség típusok'!$A$1:$C$6,3,FALSE),0))+IF(Processzor!$J$7=0,0,ROUNDUP(Processzor!$J$7/VLOOKUP(Tétellista!$G$23,'Helyiség típusok'!$A$1:$C$6,3,FALSE),0))+IF(Processzor!$J$8=0,0,ROUNDUP(Processzor!$J$8/VLOOKUP(Tétellista!$G$24,'Helyiség típusok'!$A$1:$C$6,3,FALSE),0))+IF(Processzor!$J$9=0,0,ROUNDUP(Processzor!$J$9/VLOOKUP(Tétellista!$G$25,'Helyiség típusok'!$A$1:$C$6,3,FALSE),0))+IF(Processzor!$J$10=0,0,ROUNDUP(Processzor!$J$10/VLOOKUP(Tétellista!$G$26,'Helyiség típusok'!$A$1:$C$6,3,FALSE),0))+IF(Processzor!$J$11=0,0,ROUNDUP(Processzor!$J$11/VLOOKUP(Tétellista!$G$27,'Helyiség típusok'!$A$1:$C$6,3,FALSE),0))</f>
        <v>0</v>
      </c>
    </row>
    <row r="19" spans="1:13" ht="12.75">
      <c r="A19">
        <v>1062045</v>
      </c>
      <c r="B19" s="5" t="str">
        <f>VLOOKUP(A19,$D$3:$E$47,2,FALSE)</f>
        <v>Uponor Comfort Plus cső 16x2,0 240m</v>
      </c>
      <c r="D19">
        <v>1020524</v>
      </c>
      <c r="E19" s="5" t="s">
        <v>47</v>
      </c>
      <c r="F19">
        <f>IF(Processzor!$B$1="Renovis",ROUND($F$15/9*4,-1),IF(Processzor!$B$1="Minitec Mennyezet",$M$21*4,0))</f>
        <v>0</v>
      </c>
      <c r="G19" s="5" t="s">
        <v>22</v>
      </c>
      <c r="H19">
        <v>5</v>
      </c>
      <c r="J19" s="5" t="s">
        <v>3</v>
      </c>
      <c r="K19">
        <v>11.25</v>
      </c>
      <c r="L19" s="6">
        <f t="shared" si="5"/>
        <v>9.5625</v>
      </c>
      <c r="M19">
        <f>IF(Processzor!$J$6=0,0,ROUNDUP(Processzor!$J$6/L19,0))+IF(Processzor!$J$7=0,0,ROUNDUP(Processzor!$J$7/L19,0))+IF(Processzor!$J$8=0,0,ROUNDUP(Processzor!$J$8/L19,0))+IF(Processzor!$J$9=0,0,ROUNDUP(Processzor!$J$9/L19,0))+IF(Processzor!$J$10=0,0,ROUNDUP(Processzor!$J$10/L19,0))+IF(Processzor!$J$11=0,0,ROUNDUP(Processzor!$J$11/L19,0))</f>
        <v>0</v>
      </c>
    </row>
    <row r="20" spans="1:13" ht="14.25">
      <c r="A20">
        <v>1005049</v>
      </c>
      <c r="B20" s="5" t="str">
        <f>VLOOKUP(A20,$D$3:$E$47,2,FALSE)</f>
        <v>Uponor Multi fólia PE, 0,2mm, 60x1,25m 75m2 </v>
      </c>
      <c r="D20">
        <v>1090924</v>
      </c>
      <c r="E20" s="5" t="s">
        <v>48</v>
      </c>
      <c r="F20">
        <f>Processzor!$B$3</f>
        <v>0</v>
      </c>
      <c r="G20" s="5" t="s">
        <v>23</v>
      </c>
      <c r="H20">
        <v>10</v>
      </c>
      <c r="J20" s="5" t="s">
        <v>10</v>
      </c>
      <c r="K20">
        <v>14</v>
      </c>
      <c r="L20" s="6">
        <f t="shared" si="5"/>
        <v>11.9</v>
      </c>
      <c r="M20">
        <f>IF(Processzor!$J$6=0,0,ROUNDUP(Processzor!$J$6/VLOOKUP(Tétellista!$G$22,'Helyiség típusok'!$A$1:$C$6,3,FALSE),0))+IF(Processzor!$J$7=0,0,ROUNDUP(Processzor!$J$7/VLOOKUP(Tétellista!$G$23,'Helyiség típusok'!$A$1:$C$6,3,FALSE),0))+IF(Processzor!$J$8=0,0,ROUNDUP(Processzor!$J$8/VLOOKUP(Tétellista!$G$24,'Helyiség típusok'!$A$1:$C$6,3,FALSE),0))+IF(Processzor!$J$9=0,0,ROUNDUP(Processzor!$J$9/VLOOKUP(Tétellista!$G$25,'Helyiség típusok'!$A$1:$C$6,3,FALSE),0))+IF(Processzor!$J$10=0,0,ROUNDUP(Processzor!$J$10/VLOOKUP(Tétellista!$G$26,'Helyiség típusok'!$A$1:$C$6,3,FALSE),0))+IF(Processzor!$J$11=0,0,ROUNDUP(Processzor!$J$11/VLOOKUP(Tétellista!$G$27,'Helyiség típusok'!$A$1:$C$6,3,FALSE),0))</f>
        <v>0</v>
      </c>
    </row>
    <row r="21" spans="1:13" ht="12.75">
      <c r="A21">
        <v>1000080</v>
      </c>
      <c r="B21" s="5" t="str">
        <f>VLOOKUP(A21,$D$3:$E$47,2,FALSE)</f>
        <v>Uponor Multi szegélyszigetelés 150x10 mm 50m - ragasztócsíkkal</v>
      </c>
      <c r="D21">
        <v>1086529</v>
      </c>
      <c r="E21" s="5" t="s">
        <v>49</v>
      </c>
      <c r="F21">
        <f>ROUNDUP(F5*2.5,0)</f>
        <v>0</v>
      </c>
      <c r="G21" s="5" t="s">
        <v>22</v>
      </c>
      <c r="H21">
        <v>1000</v>
      </c>
      <c r="J21" s="5" t="s">
        <v>11</v>
      </c>
      <c r="K21">
        <v>13.5</v>
      </c>
      <c r="L21" s="6">
        <f t="shared" si="5"/>
        <v>11.475</v>
      </c>
      <c r="M21">
        <f>IF(Processzor!$J$6=0,0,ROUNDUP(Processzor!$J$6/L21,0))+IF(Processzor!$J$7=0,0,ROUNDUP(Processzor!$J$7/L21,0))+IF(Processzor!$J$8=0,0,ROUNDUP(Processzor!$J$8/L21,0))+IF(Processzor!$J$9=0,0,ROUNDUP(Processzor!$J$9/L21,0))+IF(Processzor!$J$10=0,0,ROUNDUP(Processzor!$J$10/L21,0))+IF(Processzor!$J$11=0,0,ROUNDUP(Processzor!$J$11/L21,0))</f>
        <v>0</v>
      </c>
    </row>
    <row r="22" spans="1:13" ht="12.75">
      <c r="A22">
        <v>1065284</v>
      </c>
      <c r="B22" s="5" t="str">
        <f>VLOOKUP(A22,$D$3:$E$47,2,FALSE)</f>
        <v>Uponor Vario PE-Xa Eurokónuszos csavarzat 16x2,0-3/4"</v>
      </c>
      <c r="D22">
        <v>1005274</v>
      </c>
      <c r="E22" s="5" t="s">
        <v>50</v>
      </c>
      <c r="F22">
        <f>Processzor!$B$3*3</f>
        <v>0</v>
      </c>
      <c r="G22" s="5" t="s">
        <v>21</v>
      </c>
      <c r="H22">
        <v>25</v>
      </c>
      <c r="J22" s="5" t="s">
        <v>19</v>
      </c>
      <c r="K22">
        <v>14</v>
      </c>
      <c r="L22" s="6">
        <f t="shared" si="5"/>
        <v>11.9</v>
      </c>
      <c r="M22">
        <f>IF(Processzor!$J$6=0,0,ROUNDUP(Processzor!$J$6/VLOOKUP(Tétellista!$G$22,'Helyiség típusok'!$A$1:$C$6,3,FALSE),0))+IF(Processzor!$J$7=0,0,ROUNDUP(Processzor!$J$7/VLOOKUP(Tétellista!$G$23,'Helyiség típusok'!$A$1:$C$6,3,FALSE),0))+IF(Processzor!$J$8=0,0,ROUNDUP(Processzor!$J$8/VLOOKUP(Tétellista!$G$24,'Helyiség típusok'!$A$1:$C$6,3,FALSE),0))+IF(Processzor!$J$9=0,0,ROUNDUP(Processzor!$J$9/VLOOKUP(Tétellista!$G$25,'Helyiség típusok'!$A$1:$C$6,3,FALSE),0))+IF(Processzor!$J$10=0,0,ROUNDUP(Processzor!$J$10/VLOOKUP(Tétellista!$G$26,'Helyiség típusok'!$A$1:$C$6,3,FALSE),0))+IF(Processzor!$J$11=0,0,ROUNDUP(Processzor!$J$11/VLOOKUP(Tétellista!$G$27,'Helyiség típusok'!$A$1:$C$6,3,FALSE),0))</f>
        <v>0</v>
      </c>
    </row>
    <row r="23" spans="1:13" ht="12.75">
      <c r="A23">
        <v>1009004</v>
      </c>
      <c r="B23" s="5" t="str">
        <f>VLOOKUP(A23,$D$3:$E$47,2,FALSE)</f>
        <v>Uponor Multi acél csővezető ív 14-16</v>
      </c>
      <c r="D23">
        <v>1013426</v>
      </c>
      <c r="E23" s="5" t="s">
        <v>78</v>
      </c>
      <c r="F23">
        <f>$M$16*2</f>
        <v>0</v>
      </c>
      <c r="G23" s="5" t="s">
        <v>22</v>
      </c>
      <c r="H23">
        <v>12</v>
      </c>
      <c r="J23" s="5" t="s">
        <v>69</v>
      </c>
      <c r="K23">
        <v>18</v>
      </c>
      <c r="L23" s="6">
        <f t="shared" si="5"/>
        <v>15.299999999999999</v>
      </c>
      <c r="M23">
        <f>IF(Processzor!$J$6=0,0,ROUNDUP(Processzor!$J$6/L23,0))+IF(Processzor!$J$7=0,0,ROUNDUP(Processzor!$J$7/L23,0))+IF(Processzor!$J$8=0,0,ROUNDUP(Processzor!$J$8/L23,0))+IF(Processzor!$J$9=0,0,ROUNDUP(Processzor!$J$9/L23,0))+IF(Processzor!$J$10=0,0,ROUNDUP(Processzor!$J$10/L23,0))+IF(Processzor!$J$11=0,0,ROUNDUP(Processzor!$J$11/L23,0))</f>
        <v>0</v>
      </c>
    </row>
    <row r="24" spans="2:13" ht="12.75">
      <c r="B24" s="5"/>
      <c r="D24">
        <v>1065283</v>
      </c>
      <c r="E24" s="5" t="s">
        <v>51</v>
      </c>
      <c r="F24">
        <f>$M$17*2</f>
        <v>0</v>
      </c>
      <c r="G24" s="5" t="s">
        <v>22</v>
      </c>
      <c r="H24">
        <v>25</v>
      </c>
      <c r="J24" s="5" t="s">
        <v>74</v>
      </c>
      <c r="K24">
        <v>12</v>
      </c>
      <c r="L24" s="6">
        <f t="shared" si="5"/>
        <v>10.2</v>
      </c>
      <c r="M24">
        <f>IF(Processzor!$J$6=0,0,ROUNDUP(Processzor!$J$6/L24,0))+IF(Processzor!$J$7=0,0,ROUNDUP(Processzor!$J$7/L24,0))+IF(Processzor!$J$8=0,0,ROUNDUP(Processzor!$J$8/L24,0))+IF(Processzor!$J$9=0,0,ROUNDUP(Processzor!$J$9/L24,0))+IF(Processzor!$J$10=0,0,ROUNDUP(Processzor!$J$10/L24,0))+IF(Processzor!$J$11=0,0,ROUNDUP(Processzor!$J$11/L24,0))</f>
        <v>0</v>
      </c>
    </row>
    <row r="25" spans="1:8" ht="12.75">
      <c r="A25" t="s">
        <v>3</v>
      </c>
      <c r="B25" s="5"/>
      <c r="D25">
        <v>1065284</v>
      </c>
      <c r="E25" s="5" t="s">
        <v>70</v>
      </c>
      <c r="F25">
        <f>$M$18*2</f>
        <v>0</v>
      </c>
      <c r="G25" s="5" t="s">
        <v>22</v>
      </c>
      <c r="H25">
        <v>25</v>
      </c>
    </row>
    <row r="26" spans="1:12" ht="12.75">
      <c r="A26">
        <v>1061171</v>
      </c>
      <c r="B26" s="5" t="str">
        <f aca="true" t="shared" si="6" ref="B26:B33">VLOOKUP(A26,$D$3:$E$47,2,FALSE)</f>
        <v>Uponor Renovis Panel 2×0,625m</v>
      </c>
      <c r="D26">
        <v>1065290</v>
      </c>
      <c r="E26" s="5" t="s">
        <v>71</v>
      </c>
      <c r="F26">
        <f>IF(Processzor!$B$1="Renovis",$M$19*2,$M$21*2)</f>
        <v>0</v>
      </c>
      <c r="G26" s="5" t="s">
        <v>22</v>
      </c>
      <c r="H26">
        <v>25</v>
      </c>
      <c r="L26" s="6"/>
    </row>
    <row r="27" spans="1:12" ht="12.75">
      <c r="A27">
        <v>1061172</v>
      </c>
      <c r="B27" s="5" t="str">
        <f t="shared" si="6"/>
        <v>Uponor Renovis Panel 1,2×0,625m</v>
      </c>
      <c r="D27">
        <v>1063781</v>
      </c>
      <c r="E27" s="5" t="s">
        <v>52</v>
      </c>
      <c r="F27">
        <f>$M$16*2</f>
        <v>0</v>
      </c>
      <c r="G27" s="5" t="s">
        <v>22</v>
      </c>
      <c r="H27">
        <v>50</v>
      </c>
      <c r="L27" s="5"/>
    </row>
    <row r="28" spans="1:8" ht="12.75">
      <c r="A28">
        <v>1005264</v>
      </c>
      <c r="B28" s="5" t="str">
        <f t="shared" si="6"/>
        <v>Uponor Q&amp;E toldó gyűrűvel 9,9</v>
      </c>
      <c r="D28">
        <v>1009004</v>
      </c>
      <c r="E28" s="5" t="s">
        <v>53</v>
      </c>
      <c r="F28">
        <f>IF(Processzor!$B$1="Siccus",$M$17*2,$M$18*2)</f>
        <v>0</v>
      </c>
      <c r="G28" s="5" t="s">
        <v>22</v>
      </c>
      <c r="H28">
        <v>10</v>
      </c>
    </row>
    <row r="29" spans="1:8" ht="12.75">
      <c r="A29">
        <v>1020518</v>
      </c>
      <c r="B29" s="5" t="str">
        <f t="shared" si="6"/>
        <v>Uponor Q&amp;E réz szűkítő 20x9,9</v>
      </c>
      <c r="D29">
        <v>1009233</v>
      </c>
      <c r="E29" s="5" t="s">
        <v>54</v>
      </c>
      <c r="F29">
        <f>IF(Processzor!$B$1="Renovis",$M$19*2,$M$21*2)</f>
        <v>0</v>
      </c>
      <c r="G29" s="5" t="s">
        <v>22</v>
      </c>
      <c r="H29">
        <v>20</v>
      </c>
    </row>
    <row r="30" spans="1:8" ht="12.75">
      <c r="A30">
        <v>1020524</v>
      </c>
      <c r="B30" s="5" t="str">
        <f t="shared" si="6"/>
        <v>Uponor Q&amp;E réz T 20x9,9x20</v>
      </c>
      <c r="D30">
        <v>1085944</v>
      </c>
      <c r="E30" s="5" t="s">
        <v>55</v>
      </c>
      <c r="F30">
        <f>_xlfn.IFNA(VLOOKUP(VLOOKUP(Processzor!$B$1,'Rendszer cikkszámok'!$J$16:$M$23,4,FALSE),Osztó!$A$4:$R$34,MATCH(D30,Osztó!$A$4:$R$4,0),FALSE),0)</f>
        <v>0</v>
      </c>
      <c r="G30" s="5" t="s">
        <v>22</v>
      </c>
      <c r="H30">
        <v>1</v>
      </c>
    </row>
    <row r="31" spans="1:8" ht="12.75">
      <c r="A31">
        <v>1020543</v>
      </c>
      <c r="B31" s="5" t="str">
        <f t="shared" si="6"/>
        <v>Uponor Comfort Plus 20×2.0 S9-es szigetelt cső 60m</v>
      </c>
      <c r="D31">
        <v>1085945</v>
      </c>
      <c r="E31" s="5" t="s">
        <v>56</v>
      </c>
      <c r="F31">
        <f>_xlfn.IFNA(VLOOKUP(VLOOKUP(Processzor!$B$1,'Rendszer cikkszámok'!$J$16:$M$23,4,FALSE),Osztó!$A$4:$R$34,MATCH(D31,Osztó!$A$4:$R$4,0),FALSE),0)</f>
        <v>0</v>
      </c>
      <c r="G31" s="5" t="s">
        <v>22</v>
      </c>
      <c r="H31">
        <v>1</v>
      </c>
    </row>
    <row r="32" spans="1:8" ht="12.75">
      <c r="A32">
        <v>1065290</v>
      </c>
      <c r="B32" s="5" t="str">
        <f t="shared" si="6"/>
        <v>Uponor Vario PE-Xa Eurokónuszos csavarzat 20x2,0-3/4"</v>
      </c>
      <c r="D32">
        <v>1085946</v>
      </c>
      <c r="E32" s="5" t="s">
        <v>57</v>
      </c>
      <c r="F32">
        <f>_xlfn.IFNA(VLOOKUP(VLOOKUP(Processzor!$B$1,'Rendszer cikkszámok'!$J$16:$M$23,4,FALSE),Osztó!$A$4:$R$34,MATCH(D32,Osztó!$A$4:$R$4,0),FALSE),0)</f>
        <v>0</v>
      </c>
      <c r="G32" s="5" t="s">
        <v>22</v>
      </c>
      <c r="H32">
        <v>1</v>
      </c>
    </row>
    <row r="33" spans="1:8" ht="12.75">
      <c r="A33">
        <v>1009233</v>
      </c>
      <c r="B33" s="5" t="str">
        <f t="shared" si="6"/>
        <v>Uponor Multi acél csővezető ív 20</v>
      </c>
      <c r="D33">
        <v>1085947</v>
      </c>
      <c r="E33" s="5" t="s">
        <v>58</v>
      </c>
      <c r="F33">
        <f>_xlfn.IFNA(VLOOKUP(VLOOKUP(Processzor!$B$1,'Rendszer cikkszámok'!$J$16:$M$23,4,FALSE),Osztó!$A$4:$R$34,MATCH(D33,Osztó!$A$4:$R$4,0),FALSE),0)</f>
        <v>0</v>
      </c>
      <c r="G33" s="5" t="s">
        <v>22</v>
      </c>
      <c r="H33">
        <v>1</v>
      </c>
    </row>
    <row r="34" spans="2:8" ht="12.75">
      <c r="B34" s="5"/>
      <c r="D34">
        <v>1085948</v>
      </c>
      <c r="E34" s="5" t="s">
        <v>59</v>
      </c>
      <c r="F34">
        <f>_xlfn.IFNA(VLOOKUP(VLOOKUP(Processzor!$B$1,'Rendszer cikkszámok'!$J$16:$M$23,4,FALSE),Osztó!$A$4:$R$34,MATCH(D34,Osztó!$A$4:$R$4,0),FALSE),0)</f>
        <v>0</v>
      </c>
      <c r="G34" s="5" t="s">
        <v>22</v>
      </c>
      <c r="H34">
        <v>1</v>
      </c>
    </row>
    <row r="35" spans="1:8" ht="12.75">
      <c r="A35" t="s">
        <v>10</v>
      </c>
      <c r="B35" s="5"/>
      <c r="D35">
        <v>1085949</v>
      </c>
      <c r="E35" s="5" t="s">
        <v>60</v>
      </c>
      <c r="F35">
        <f>_xlfn.IFNA(VLOOKUP(VLOOKUP(Processzor!$B$1,'Rendszer cikkszámok'!$J$16:$M$23,4,FALSE),Osztó!$A$4:$R$34,MATCH(D35,Osztó!$A$4:$R$4,0),FALSE),0)</f>
        <v>0</v>
      </c>
      <c r="G35" s="5" t="s">
        <v>22</v>
      </c>
      <c r="H35">
        <v>1</v>
      </c>
    </row>
    <row r="36" spans="1:8" ht="12.75">
      <c r="A36">
        <v>1090924</v>
      </c>
      <c r="B36" s="5" t="str">
        <f aca="true" t="shared" si="7" ref="B36:B41">VLOOKUP(A36,$D$3:$E$47,2,FALSE)</f>
        <v>Uponor Tacker Panel 30mm DES 30-2</v>
      </c>
      <c r="D36">
        <v>1085950</v>
      </c>
      <c r="E36" s="5" t="s">
        <v>61</v>
      </c>
      <c r="F36">
        <f>_xlfn.IFNA(VLOOKUP(VLOOKUP(Processzor!$B$1,'Rendszer cikkszámok'!$J$16:$M$23,4,FALSE),Osztó!$A$4:$R$34,MATCH(D36,Osztó!$A$4:$R$4,0),FALSE),0)</f>
        <v>0</v>
      </c>
      <c r="G36" s="5" t="s">
        <v>22</v>
      </c>
      <c r="H36">
        <v>1</v>
      </c>
    </row>
    <row r="37" spans="1:8" ht="12.75">
      <c r="A37">
        <v>1086529</v>
      </c>
      <c r="B37" s="5" t="str">
        <f t="shared" si="7"/>
        <v>Uponor Tacker rögzítő tüske, 14-20mm, H=40mm</v>
      </c>
      <c r="D37">
        <v>1085951</v>
      </c>
      <c r="E37" s="5" t="s">
        <v>62</v>
      </c>
      <c r="F37">
        <f>_xlfn.IFNA(VLOOKUP(VLOOKUP(Processzor!$B$1,'Rendszer cikkszámok'!$J$16:$M$23,4,FALSE),Osztó!$A$4:$R$34,MATCH(D37,Osztó!$A$4:$R$4,0),FALSE),0)</f>
        <v>0</v>
      </c>
      <c r="G37" s="5" t="s">
        <v>22</v>
      </c>
      <c r="H37">
        <v>1</v>
      </c>
    </row>
    <row r="38" spans="1:16" ht="12.75">
      <c r="A38">
        <v>1062045</v>
      </c>
      <c r="B38" s="5" t="str">
        <f t="shared" si="7"/>
        <v>Uponor Comfort Plus cső 16x2,0 240m</v>
      </c>
      <c r="D38">
        <v>1085952</v>
      </c>
      <c r="E38" s="5" t="s">
        <v>63</v>
      </c>
      <c r="F38">
        <f>_xlfn.IFNA(VLOOKUP(VLOOKUP(Processzor!$B$1,'Rendszer cikkszámok'!$J$16:$M$23,4,FALSE),Osztó!$A$4:$R$34,MATCH(D38,Osztó!$A$4:$R$4,0),FALSE),0)</f>
        <v>0</v>
      </c>
      <c r="G38" s="5" t="s">
        <v>22</v>
      </c>
      <c r="H38">
        <v>1</v>
      </c>
      <c r="P38" t="s">
        <v>107</v>
      </c>
    </row>
    <row r="39" spans="1:16" ht="12.75">
      <c r="A39">
        <v>1000080</v>
      </c>
      <c r="B39" s="5" t="str">
        <f t="shared" si="7"/>
        <v>Uponor Multi szegélyszigetelés 150x10 mm 50m - ragasztócsíkkal</v>
      </c>
      <c r="D39">
        <v>1086250</v>
      </c>
      <c r="E39" s="5" t="s">
        <v>64</v>
      </c>
      <c r="F39">
        <f>_xlfn.IFNA(VLOOKUP(VLOOKUP(Processzor!$B$1,'Rendszer cikkszámok'!$J$16:$M$23,4,FALSE),Osztó!$A$4:$R$34,MATCH(D39,Osztó!$A$4:$R$4,0),FALSE),0)</f>
        <v>0</v>
      </c>
      <c r="G39" s="5" t="s">
        <v>22</v>
      </c>
      <c r="H39">
        <v>1</v>
      </c>
      <c r="P39" t="s">
        <v>108</v>
      </c>
    </row>
    <row r="40" spans="1:16" ht="12.75">
      <c r="A40">
        <v>1065284</v>
      </c>
      <c r="B40" s="5" t="str">
        <f t="shared" si="7"/>
        <v>Uponor Vario PE-Xa Eurokónuszos csavarzat 16x2,0-3/4"</v>
      </c>
      <c r="D40">
        <v>1086251</v>
      </c>
      <c r="E40" s="5" t="s">
        <v>65</v>
      </c>
      <c r="F40">
        <f>_xlfn.IFNA(VLOOKUP(VLOOKUP(Processzor!$B$1,'Rendszer cikkszámok'!$J$16:$M$23,4,FALSE),Osztó!$A$4:$R$34,MATCH(D40,Osztó!$A$4:$R$4,0),FALSE),0)</f>
        <v>0</v>
      </c>
      <c r="G40" s="5" t="s">
        <v>22</v>
      </c>
      <c r="H40">
        <v>1</v>
      </c>
      <c r="P40" t="s">
        <v>109</v>
      </c>
    </row>
    <row r="41" spans="1:16" ht="12.75">
      <c r="A41">
        <v>1009004</v>
      </c>
      <c r="B41" s="5" t="str">
        <f t="shared" si="7"/>
        <v>Uponor Multi acél csővezető ív 14-16</v>
      </c>
      <c r="D41">
        <v>1038166</v>
      </c>
      <c r="E41" s="5" t="s">
        <v>66</v>
      </c>
      <c r="F41">
        <f>_xlfn.IFNA(VLOOKUP(VLOOKUP(Processzor!$B$1,'Rendszer cikkszámok'!$J$16:$M$23,4,FALSE),Osztó!$A$4:$R$34,MATCH(D41,Osztó!$A$4:$R$4,0),FALSE),0)</f>
        <v>0</v>
      </c>
      <c r="G41" s="5" t="s">
        <v>22</v>
      </c>
      <c r="H41">
        <v>1</v>
      </c>
      <c r="P41" t="s">
        <v>110</v>
      </c>
    </row>
    <row r="42" spans="2:16" ht="12.75">
      <c r="B42" s="5"/>
      <c r="D42">
        <v>1059132</v>
      </c>
      <c r="E42" s="5" t="s">
        <v>67</v>
      </c>
      <c r="F42">
        <f>_xlfn.IFNA(VLOOKUP(VLOOKUP(Processzor!$B$1,'Rendszer cikkszámok'!$J$16:$M$23,4,FALSE),Osztó!$A$4:$R$34,MATCH(D42,Osztó!$A$4:$R$4,0),FALSE),0)</f>
        <v>0</v>
      </c>
      <c r="G42" s="5" t="s">
        <v>22</v>
      </c>
      <c r="H42">
        <v>1</v>
      </c>
      <c r="N42">
        <v>1046996</v>
      </c>
      <c r="O42">
        <v>1046996</v>
      </c>
      <c r="P42" t="s">
        <v>94</v>
      </c>
    </row>
    <row r="43" spans="1:16" ht="12.75">
      <c r="A43" t="s">
        <v>11</v>
      </c>
      <c r="B43" s="5"/>
      <c r="D43">
        <v>1046996</v>
      </c>
      <c r="E43" s="5" t="s">
        <v>107</v>
      </c>
      <c r="F43">
        <f>_xlfn.IFNA(VLOOKUP(VLOOKUP(Processzor!$B$1,'Rendszer cikkszámok'!$J$16:$M$23,4,FALSE),Osztó!$A$4:$R$34,MATCH(D43,Osztó!$A$4:$R$4,0),FALSE),0)</f>
        <v>0</v>
      </c>
      <c r="G43" s="5" t="s">
        <v>22</v>
      </c>
      <c r="H43">
        <v>1</v>
      </c>
      <c r="N43">
        <v>1046997</v>
      </c>
      <c r="O43">
        <v>1046997</v>
      </c>
      <c r="P43" t="s">
        <v>95</v>
      </c>
    </row>
    <row r="44" spans="1:16" ht="12.75">
      <c r="A44">
        <v>1005274</v>
      </c>
      <c r="B44" s="5" t="str">
        <f aca="true" t="shared" si="8" ref="B44:B50">VLOOKUP(A44,$D$3:$E$47,2,FALSE)</f>
        <v>Uponor Fix tartósín 9,9mm</v>
      </c>
      <c r="D44">
        <v>1046997</v>
      </c>
      <c r="E44" s="5" t="s">
        <v>108</v>
      </c>
      <c r="F44">
        <f>_xlfn.IFNA(VLOOKUP(VLOOKUP(Processzor!$B$1,'Rendszer cikkszámok'!$J$16:$M$23,4,FALSE),Osztó!$A$4:$R$34,MATCH(D44,Osztó!$A$4:$R$4,0),FALSE),0)</f>
        <v>0</v>
      </c>
      <c r="G44" s="5" t="s">
        <v>22</v>
      </c>
      <c r="H44">
        <v>1</v>
      </c>
      <c r="N44">
        <v>1046998</v>
      </c>
      <c r="O44">
        <v>1046998</v>
      </c>
      <c r="P44" t="s">
        <v>96</v>
      </c>
    </row>
    <row r="45" spans="1:16" ht="12.75">
      <c r="A45">
        <v>1063289</v>
      </c>
      <c r="B45" s="5" t="str">
        <f t="shared" si="8"/>
        <v>Uponor Minitec Comfort cső 9.9x1.1 240m</v>
      </c>
      <c r="D45">
        <v>1046998</v>
      </c>
      <c r="E45" s="5" t="s">
        <v>109</v>
      </c>
      <c r="F45">
        <f>_xlfn.IFNA(VLOOKUP(VLOOKUP(Processzor!$B$1,'Rendszer cikkszámok'!$J$16:$M$23,4,FALSE),Osztó!$A$4:$R$34,MATCH(D45,Osztó!$A$4:$R$4,0),FALSE),0)</f>
        <v>0</v>
      </c>
      <c r="G45" s="5" t="s">
        <v>22</v>
      </c>
      <c r="H45">
        <v>1</v>
      </c>
      <c r="N45">
        <v>1046999</v>
      </c>
      <c r="O45">
        <v>1046999</v>
      </c>
      <c r="P45" t="s">
        <v>97</v>
      </c>
    </row>
    <row r="46" spans="1:16" ht="12.75">
      <c r="A46">
        <v>1020543</v>
      </c>
      <c r="B46" s="5" t="str">
        <f t="shared" si="8"/>
        <v>Uponor Comfort Plus 20×2.0 S9-es szigetelt cső 60m</v>
      </c>
      <c r="D46">
        <v>1046999</v>
      </c>
      <c r="E46" s="5" t="s">
        <v>110</v>
      </c>
      <c r="F46">
        <f>_xlfn.IFNA(VLOOKUP(VLOOKUP(Processzor!$B$1,'Rendszer cikkszámok'!$J$16:$M$23,4,FALSE),Osztó!$A$4:$R$34,MATCH(D46,Osztó!$A$4:$R$4,0),FALSE),0)</f>
        <v>0</v>
      </c>
      <c r="G46" s="5" t="s">
        <v>22</v>
      </c>
      <c r="H46">
        <v>1</v>
      </c>
      <c r="O46">
        <v>1121513</v>
      </c>
      <c r="P46" t="s">
        <v>111</v>
      </c>
    </row>
    <row r="47" spans="1:8" ht="14.25">
      <c r="A47">
        <v>1020518</v>
      </c>
      <c r="B47" s="5" t="str">
        <f t="shared" si="8"/>
        <v>Uponor Q&amp;E réz szűkítő 20x9,9</v>
      </c>
      <c r="D47">
        <v>1005477</v>
      </c>
      <c r="E47" s="5" t="s">
        <v>68</v>
      </c>
      <c r="F47" s="6">
        <f>Processzor!B3</f>
        <v>0</v>
      </c>
      <c r="G47" s="5" t="s">
        <v>23</v>
      </c>
      <c r="H47">
        <v>15.68</v>
      </c>
    </row>
    <row r="48" spans="1:8" ht="12.75">
      <c r="A48">
        <v>1020524</v>
      </c>
      <c r="B48" s="5" t="str">
        <f t="shared" si="8"/>
        <v>Uponor Q&amp;E réz T 20x9,9x20</v>
      </c>
      <c r="D48">
        <v>1012864</v>
      </c>
      <c r="E48" s="5" t="s">
        <v>72</v>
      </c>
      <c r="F48">
        <f>M23*4</f>
        <v>0</v>
      </c>
      <c r="G48" s="5" t="s">
        <v>21</v>
      </c>
      <c r="H48">
        <v>50</v>
      </c>
    </row>
    <row r="49" spans="1:8" ht="12.75">
      <c r="A49">
        <v>1065290</v>
      </c>
      <c r="B49" s="5" t="str">
        <f t="shared" si="8"/>
        <v>Uponor Vario PE-Xa Eurokónuszos csavarzat 20x2,0-3/4"</v>
      </c>
      <c r="D49">
        <v>1005376</v>
      </c>
      <c r="E49" t="s">
        <v>73</v>
      </c>
      <c r="F49">
        <f>M23*2</f>
        <v>0</v>
      </c>
      <c r="G49" s="5" t="s">
        <v>22</v>
      </c>
      <c r="H49">
        <v>1</v>
      </c>
    </row>
    <row r="50" spans="1:8" ht="12.75">
      <c r="A50">
        <v>1009233</v>
      </c>
      <c r="B50" s="5" t="str">
        <f t="shared" si="8"/>
        <v>Uponor Multi acél csővezető ív 20</v>
      </c>
      <c r="D50">
        <v>1090937</v>
      </c>
      <c r="E50" t="s">
        <v>82</v>
      </c>
      <c r="F50">
        <f>ROUNDUP(Processzor!B3/0.70635,0)</f>
        <v>0</v>
      </c>
      <c r="G50" s="5" t="s">
        <v>22</v>
      </c>
      <c r="H50">
        <v>1</v>
      </c>
    </row>
    <row r="51" spans="2:8" ht="12.75">
      <c r="B51" s="5"/>
      <c r="D51">
        <v>1039950</v>
      </c>
      <c r="E51" t="s">
        <v>83</v>
      </c>
      <c r="G51" s="5" t="s">
        <v>22</v>
      </c>
      <c r="H51">
        <v>10</v>
      </c>
    </row>
    <row r="52" spans="1:8" ht="12.75">
      <c r="A52" t="s">
        <v>19</v>
      </c>
      <c r="B52" s="5"/>
      <c r="D52">
        <v>1039937</v>
      </c>
      <c r="E52" t="s">
        <v>84</v>
      </c>
      <c r="F52">
        <f>M24*2</f>
        <v>0</v>
      </c>
      <c r="G52" s="5" t="s">
        <v>22</v>
      </c>
      <c r="H52">
        <v>10</v>
      </c>
    </row>
    <row r="53" spans="1:8" ht="12.75">
      <c r="A53">
        <v>1062045</v>
      </c>
      <c r="B53" s="5" t="str">
        <f>VLOOKUP(A53,$D$3:$E$47,2,FALSE)</f>
        <v>Uponor Comfort Plus cső 16x2,0 240m</v>
      </c>
      <c r="D53">
        <v>1039933</v>
      </c>
      <c r="E53" t="s">
        <v>85</v>
      </c>
      <c r="G53" s="5" t="s">
        <v>22</v>
      </c>
      <c r="H53">
        <v>10</v>
      </c>
    </row>
    <row r="54" spans="1:8" ht="12.75">
      <c r="A54">
        <v>1005477</v>
      </c>
      <c r="B54" s="5" t="str">
        <f>VLOOKUP(A54,$D$3:$E$47,2,FALSE)</f>
        <v>Uponor Tecto rendszerlemez 1450x850x11mm</v>
      </c>
      <c r="D54">
        <v>1063557</v>
      </c>
      <c r="E54" t="s">
        <v>86</v>
      </c>
      <c r="G54" s="5" t="s">
        <v>21</v>
      </c>
      <c r="H54">
        <v>75</v>
      </c>
    </row>
    <row r="55" spans="1:11" ht="12.75">
      <c r="A55">
        <v>1000080</v>
      </c>
      <c r="B55" s="5" t="str">
        <f>VLOOKUP(A55,$D$3:$E$47,2,FALSE)</f>
        <v>Uponor Multi szegélyszigetelés 150x10 mm 50m - ragasztócsíkkal</v>
      </c>
      <c r="D55">
        <v>1042471</v>
      </c>
      <c r="E55" s="5" t="s">
        <v>87</v>
      </c>
      <c r="F55">
        <f>_xlfn.IFNA(VLOOKUP(VLOOKUP(Processzor!$B$1,'Rendszer cikkszámok'!$J$16:$M$23,4,FALSE),'Osztó Vario PLUS'!$A$4:$N$34,MATCH(D55,'Osztó Vario PLUS'!$A$4:$N$4,0),FALSE),0)</f>
        <v>0</v>
      </c>
      <c r="G55" s="5" t="s">
        <v>22</v>
      </c>
      <c r="H55">
        <v>1</v>
      </c>
      <c r="I55">
        <f>MATCH(D55,'Osztó Vario PLUS'!$A$4:$N$4,0)</f>
        <v>2</v>
      </c>
      <c r="K55">
        <f>VLOOKUP(Processzor!$B$1,'Rendszer cikkszámok'!$J$16:$M$23,4,FALSE)</f>
        <v>0</v>
      </c>
    </row>
    <row r="56" spans="1:9" ht="12.75">
      <c r="A56">
        <v>1065284</v>
      </c>
      <c r="B56" s="5" t="str">
        <f>VLOOKUP(A56,$D$3:$E$47,2,FALSE)</f>
        <v>Uponor Vario PE-Xa Eurokónuszos csavarzat 16x2,0-3/4"</v>
      </c>
      <c r="D56">
        <v>1030583</v>
      </c>
      <c r="E56" s="5" t="s">
        <v>88</v>
      </c>
      <c r="F56">
        <f>_xlfn.IFNA(VLOOKUP(VLOOKUP(Processzor!$B$1,'Rendszer cikkszámok'!$J$16:$M$23,4,FALSE),'Osztó Vario PLUS'!$A$4:$N$34,MATCH(D56,'Osztó Vario PLUS'!$A$4:$N$4,0),FALSE),0)</f>
        <v>0</v>
      </c>
      <c r="G56" s="5" t="s">
        <v>22</v>
      </c>
      <c r="H56">
        <v>1</v>
      </c>
      <c r="I56">
        <f>MATCH(D56,'Osztó Vario PLUS'!$A$4:$N$4,0)</f>
        <v>3</v>
      </c>
    </row>
    <row r="57" spans="1:9" ht="12.75">
      <c r="A57">
        <v>1009004</v>
      </c>
      <c r="B57" s="5" t="str">
        <f>VLOOKUP(A57,$D$3:$E$47,2,FALSE)</f>
        <v>Uponor Multi acél csővezető ív 14-16</v>
      </c>
      <c r="D57">
        <v>1030584</v>
      </c>
      <c r="E57" s="5" t="s">
        <v>89</v>
      </c>
      <c r="F57">
        <f>_xlfn.IFNA(VLOOKUP(VLOOKUP(Processzor!$B$1,'Rendszer cikkszámok'!$J$16:$M$23,4,FALSE),'Osztó Vario PLUS'!$A$4:$N$34,MATCH(D57,'Osztó Vario PLUS'!$A$4:$N$4,0),FALSE),0)</f>
        <v>0</v>
      </c>
      <c r="G57" s="5" t="s">
        <v>22</v>
      </c>
      <c r="H57">
        <v>1</v>
      </c>
      <c r="I57">
        <f>MATCH(D57,'Osztó Vario PLUS'!$A$4:$N$4,0)</f>
        <v>4</v>
      </c>
    </row>
    <row r="58" spans="4:9" ht="12.75">
      <c r="D58">
        <v>1030585</v>
      </c>
      <c r="E58" s="5" t="s">
        <v>90</v>
      </c>
      <c r="F58">
        <f>_xlfn.IFNA(VLOOKUP(VLOOKUP(Processzor!$B$1,'Rendszer cikkszámok'!$J$16:$M$23,4,FALSE),'Osztó Vario PLUS'!$A$4:$N$34,MATCH(D58,'Osztó Vario PLUS'!$A$4:$N$4,0),FALSE),0)</f>
        <v>0</v>
      </c>
      <c r="G58" s="5" t="s">
        <v>22</v>
      </c>
      <c r="H58">
        <v>1</v>
      </c>
      <c r="I58">
        <f>MATCH(D58,'Osztó Vario PLUS'!$A$4:$N$4,0)</f>
        <v>5</v>
      </c>
    </row>
    <row r="59" spans="1:8" ht="12.75">
      <c r="A59" t="s">
        <v>69</v>
      </c>
      <c r="D59">
        <v>1009209</v>
      </c>
      <c r="E59" s="5" t="s">
        <v>91</v>
      </c>
      <c r="F59">
        <f>_xlfn.IFNA(VLOOKUP(VLOOKUP(Processzor!$B$1,'Rendszer cikkszámok'!$J$16:$M$23,4,FALSE),'Osztó Vario PLUS'!$A$4:$N$34,MATCH(D59,'Osztó Vario PLUS'!$A$4:$N$4,0),FALSE),0)</f>
        <v>0</v>
      </c>
      <c r="G59" s="5" t="s">
        <v>22</v>
      </c>
      <c r="H59">
        <v>1</v>
      </c>
    </row>
    <row r="60" spans="1:8" ht="12.75">
      <c r="A60">
        <v>1009230</v>
      </c>
      <c r="B60" s="5" t="str">
        <f>VLOOKUP(A60,$D$3:$E$50,2,FALSE)</f>
        <v>Uponor Comfort Plus cső 20x2,0 240m</v>
      </c>
      <c r="D60">
        <v>1012860</v>
      </c>
      <c r="E60" s="5" t="s">
        <v>92</v>
      </c>
      <c r="F60">
        <v>50</v>
      </c>
      <c r="G60" s="5" t="s">
        <v>22</v>
      </c>
      <c r="H60">
        <v>50</v>
      </c>
    </row>
    <row r="61" spans="1:8" ht="12.75">
      <c r="A61">
        <v>1065290</v>
      </c>
      <c r="B61" s="5" t="str">
        <f>VLOOKUP(A61,$D$3:$E$50,2,FALSE)</f>
        <v>Uponor Vario PE-Xa Eurokónuszos csavarzat 20x2,0-3/4"</v>
      </c>
      <c r="D61">
        <v>1032702</v>
      </c>
      <c r="E61" s="5" t="s">
        <v>93</v>
      </c>
      <c r="F61">
        <f>_xlfn.IFNA(VLOOKUP(VLOOKUP(Processzor!$B$1,'Rendszer cikkszámok'!$J$16:$M$23,4,FALSE),'Osztó Vario PLUS'!$A$4:$N$34,MATCH(D61,'Osztó Vario PLUS'!$A$4:$N$4,0),FALSE),0)</f>
        <v>0</v>
      </c>
      <c r="G61" s="5" t="s">
        <v>81</v>
      </c>
      <c r="H61">
        <v>1</v>
      </c>
    </row>
    <row r="62" spans="1:2" ht="12.75">
      <c r="A62">
        <v>1012864</v>
      </c>
      <c r="B62" s="5" t="str">
        <f>VLOOKUP(A62,$D$3:$E$50,2,FALSE)</f>
        <v>Uponor Teck védőcső 20-as csőre 28/23 fekete 50m</v>
      </c>
    </row>
    <row r="63" spans="1:2" ht="12.75">
      <c r="A63">
        <v>1005376</v>
      </c>
      <c r="B63" s="5" t="str">
        <f>VLOOKUP(A63,$D$3:$E$50,2,FALSE)</f>
        <v>Uponor födémátvezető elem</v>
      </c>
    </row>
    <row r="65" ht="12.75">
      <c r="A65" s="5" t="s">
        <v>74</v>
      </c>
    </row>
    <row r="66" spans="1:2" ht="12.75">
      <c r="A66">
        <v>1090937</v>
      </c>
      <c r="B66" s="5" t="str">
        <f>VLOOKUP(A66,$D$3:$E$54,2,FALSE)</f>
        <v>Uponor Thermatop M Panel 2,55x0,277m</v>
      </c>
    </row>
    <row r="67" spans="1:2" ht="12.75">
      <c r="A67">
        <v>1039950</v>
      </c>
      <c r="B67" s="5" t="str">
        <f>VLOOKUP(A67,$D$3:$E$54,2,FALSE)</f>
        <v>Uponor S-Press PLUS PPSU T 20-16-20</v>
      </c>
    </row>
    <row r="68" spans="1:2" ht="12.75">
      <c r="A68">
        <v>1039937</v>
      </c>
      <c r="B68" s="5" t="str">
        <f>VLOOKUP(A68,$D$3:$E$54,2,FALSE)</f>
        <v>Uponor S-Press PLUS PPSU szűkítő 20-16</v>
      </c>
    </row>
    <row r="69" spans="1:2" ht="12.75">
      <c r="A69">
        <v>1039933</v>
      </c>
      <c r="B69" s="5" t="str">
        <f>VLOOKUP(A69,$D$3:$E$54,2,FALSE)</f>
        <v>Uponor S-Press PLUS PPSU toldó 16-16</v>
      </c>
    </row>
    <row r="70" spans="1:2" ht="12.75">
      <c r="A70">
        <v>1063557</v>
      </c>
      <c r="B70" s="5" t="str">
        <f>VLOOKUP(A70,$D$3:$E$54,2,FALSE)</f>
        <v>Uponor Uni Pipe PLUS szigetelt ötrétegű cső S6 20x2,25 75m</v>
      </c>
    </row>
  </sheetData>
  <sheetProtection/>
  <conditionalFormatting sqref="N38:N46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Uponor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Becze, Dénes</dc:creator>
  <cp:keywords/>
  <dc:description/>
  <cp:lastModifiedBy>Becze, Dénes</cp:lastModifiedBy>
  <cp:lastPrinted>2022-09-06T12:59:18Z</cp:lastPrinted>
  <dcterms:created xsi:type="dcterms:W3CDTF">2009-03-25T09:21:45Z</dcterms:created>
  <dcterms:modified xsi:type="dcterms:W3CDTF">2022-09-19T12:10:06Z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>Internal</vt:lpwstr>
  </property>
</Properties>
</file>