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ЦяКнига"/>
  <mc:AlternateContent xmlns:mc="http://schemas.openxmlformats.org/markup-compatibility/2006">
    <mc:Choice Requires="x15">
      <x15ac:absPath xmlns:x15ac="http://schemas.microsoft.com/office/spreadsheetml/2010/11/ac" url="https://uponorcorp-my.sharepoint.com/personal/yuri_volokh_uponor_com/Documents/Documents/Юра/UPONOR UKRAINE/Програма розрахунку/"/>
    </mc:Choice>
  </mc:AlternateContent>
  <xr:revisionPtr revIDLastSave="108" documentId="8_{73A2920D-BFA7-4FF3-995C-9318713ECDB1}" xr6:coauthVersionLast="47" xr6:coauthVersionMax="47" xr10:uidLastSave="{F1539A24-FAB5-443F-B8D3-6EE51C8FECDE}"/>
  <workbookProtection workbookAlgorithmName="SHA-512" workbookHashValue="3gec+PWtZfrALEXuG8f5FsBxfH3nNlWFHZkHSTUh4BNkSp5/KFUPK3w7k0DlM8ozn63rqYVD1nRcCxYR0Q120Q==" workbookSaltValue="GAE8U7MGrUCToIRKVbXL5Q==" workbookSpinCount="100000" lockStructure="1"/>
  <bookViews>
    <workbookView xWindow="-120" yWindow="-120" windowWidth="20730" windowHeight="11160" firstSheet="3" activeTab="3" xr2:uid="{00000000-000D-0000-FFFF-FFFF00000000}"/>
  </bookViews>
  <sheets>
    <sheet name="Price_List 2023 UA" sheetId="24" state="hidden" r:id="rId1"/>
    <sheet name="Каталог" sheetId="10" state="hidden" r:id="rId2"/>
    <sheet name="Інструкція" sheetId="21" r:id="rId3"/>
    <sheet name="Вихідні дані" sheetId="15" r:id="rId4"/>
    <sheet name="Поверх 1" sheetId="16" r:id="rId5"/>
    <sheet name="Поверх 2" sheetId="17" r:id="rId6"/>
    <sheet name="Поверх 3" sheetId="18" r:id="rId7"/>
    <sheet name="Специфікація" sheetId="14" r:id="rId8"/>
    <sheet name="Друк" sheetId="20" r:id="rId9"/>
  </sheets>
  <definedNames>
    <definedName name="_xlnm._FilterDatabase" localSheetId="0" hidden="1">'Price_List 2023 UA'!$A$10:$G$1711</definedName>
    <definedName name="_xlnm._FilterDatabase" localSheetId="8" hidden="1">Друк!$A$102:$E$125</definedName>
    <definedName name="_xlnm._FilterDatabase" localSheetId="1" hidden="1">Каталог!$A$1:$D$42</definedName>
    <definedName name="_xlnm._FilterDatabase" localSheetId="7" hidden="1">Специфікація!$B$5:$H$27</definedName>
    <definedName name="ActFloor1.1">OFFSET(Каталог!$D$3,MATCH('Поверх 1'!$A$25,Каталог!$B$3:$B$41,0)-1,0,1,1)</definedName>
    <definedName name="ActFloor1.2">OFFSET(Каталог!$D$3,MATCH('Поверх 1'!$K$25,Каталог!$B$3:$B$41,0)-1,0,1,1)</definedName>
    <definedName name="ActFloor2.1">OFFSET(Каталог!$D$3,MATCH('Поверх 2'!$A$25,Каталог!$B$3:$B$41,0)-1,0,1,1)</definedName>
    <definedName name="ActFloor2.2">OFFSET(Каталог!$D$3,MATCH('Поверх 2'!$K$25,Каталог!$B$3:$B$41,0)-1,0,1,1)</definedName>
    <definedName name="ActFloor3.1">OFFSET(Каталог!$D$3,MATCH('Поверх 3'!$A$25,Каталог!$B$3:$B$41,0)-1,0,1,1)</definedName>
    <definedName name="ActFloor3.2">OFFSET(Каталог!$D$3,MATCH('Поверх 3'!$K$25,Каталог!$B$3:$B$41,0)-1,0,1,1)</definedName>
    <definedName name="ActRad1" localSheetId="4">OFFSET(Каталог!$D$3,MATCH('Поверх 1'!$U$25,Каталог!$B$3:$B$41,0)-1,0,1,1)</definedName>
    <definedName name="ActRad2">OFFSET(Каталог!$D$3,MATCH('Поверх 2'!$U$25,Каталог!$B$3:$B$41,0)-1,0,1,1)</definedName>
    <definedName name="ActRad3">OFFSET(Каталог!$D$3,MATCH('Поверх 3'!$U$25,Каталог!$B$3:$B$41,0)-1,0,1,1)</definedName>
    <definedName name="Catalogue_Items">#REF!</definedName>
    <definedName name="roomsN">'Вихідні дані'!$I$13:$K$32</definedName>
    <definedName name="RoomT1.1">OFFSET('Вихідні дані'!$E$3,'Поверх 1'!$B$2,0,1,1)</definedName>
    <definedName name="RoomT1.10">OFFSET('Вихідні дані'!$E$3,'Поверх 1'!$K$2,0,1,1)</definedName>
    <definedName name="RoomT1.11">OFFSET('Вихідні дані'!$E$3,'Поверх 1'!$L$2,0,1,1)</definedName>
    <definedName name="RoomT1.12">OFFSET('Вихідні дані'!$E$3,'Поверх 1'!$M$2,0,1,1)</definedName>
    <definedName name="RoomT1.13">OFFSET('Вихідні дані'!$E$3,'Поверх 1'!$N$2,0,1,1)</definedName>
    <definedName name="RoomT1.14">OFFSET('Вихідні дані'!$E$3,'Поверх 1'!$O$2,0,1,1)</definedName>
    <definedName name="RoomT1.15">OFFSET('Вихідні дані'!$E$3,'Поверх 1'!$P$2,0,1,1)</definedName>
    <definedName name="RoomT1.16">OFFSET('Вихідні дані'!$E$3,'Поверх 1'!$Q$2,0,1,1)</definedName>
    <definedName name="RoomT1.17">OFFSET('Вихідні дані'!$E$3,'Поверх 1'!$R$2,0,1,1)</definedName>
    <definedName name="RoomT1.18">OFFSET('Вихідні дані'!$E$3,'Поверх 1'!$S$2,0,1,1)</definedName>
    <definedName name="RoomT1.19">OFFSET('Вихідні дані'!$E$3,'Поверх 1'!$T$2,0,1,1)</definedName>
    <definedName name="RoomT1.2">OFFSET('Вихідні дані'!$E$3,'Поверх 1'!$C$2,0,1,1)</definedName>
    <definedName name="RoomT1.20">OFFSET('Вихідні дані'!$E$3,'Поверх 1'!$U$2,0,1,1)</definedName>
    <definedName name="RoomT1.21">OFFSET('Вихідні дані'!$E$3,'Поверх 1'!$V$2,0,1,1)</definedName>
    <definedName name="RoomT1.22">OFFSET('Вихідні дані'!$E$3,'Поверх 1'!$W$2,0,1,1)</definedName>
    <definedName name="RoomT1.23">OFFSET('Вихідні дані'!$E$3,'Поверх 1'!$X$2,0,1,1)</definedName>
    <definedName name="RoomT1.24">OFFSET('Вихідні дані'!$E$3,'Поверх 1'!$Y$2,0,1,1)</definedName>
    <definedName name="RoomT1.25">OFFSET('Вихідні дані'!$E$3,'Поверх 1'!$Z$2,0,1,1)</definedName>
    <definedName name="RoomT1.3">OFFSET('Вихідні дані'!$E$3,'Поверх 1'!$D$2,0,1,1)</definedName>
    <definedName name="RoomT1.4">OFFSET('Вихідні дані'!$E$3,'Поверх 1'!$E$2,0,1,1)</definedName>
    <definedName name="RoomT1.5">OFFSET('Вихідні дані'!$E$3,'Поверх 1'!$F$2,0,1,1)</definedName>
    <definedName name="RoomT1.6">OFFSET('Вихідні дані'!$E$3,'Поверх 1'!$G$2,0,1,1)</definedName>
    <definedName name="RoomT1.7">OFFSET('Вихідні дані'!$E$3,'Поверх 1'!$H$2,0,1,1)</definedName>
    <definedName name="RoomT1.8">OFFSET('Вихідні дані'!$E$3,'Поверх 1'!$I$2,0,1,1)</definedName>
    <definedName name="RoomT1.9">OFFSET('Вихідні дані'!$E$3,'Поверх 1'!$J$2,0,1,1)</definedName>
    <definedName name="RoomT2.1">OFFSET('Вихідні дані'!$E$3,'Поверх 2'!$B$2,0,1,1)</definedName>
    <definedName name="RoomT2.10">OFFSET('Вихідні дані'!$E$3,'Поверх 2'!$K$2,0,1,1)</definedName>
    <definedName name="RoomT2.11">OFFSET('Вихідні дані'!$E$3,'Поверх 2'!$L$2,0,1,1)</definedName>
    <definedName name="RoomT2.12">OFFSET('Вихідні дані'!$E$3,'Поверх 2'!$M$2,0,1,1)</definedName>
    <definedName name="RoomT2.13">OFFSET('Вихідні дані'!$E$3,'Поверх 2'!$N$2,0,1,1)</definedName>
    <definedName name="RoomT2.14">OFFSET('Вихідні дані'!$E$3,'Поверх 2'!$O$2,0,1,1)</definedName>
    <definedName name="RoomT2.15">OFFSET('Вихідні дані'!$E$3,'Поверх 2'!$P$2,0,1,1)</definedName>
    <definedName name="RoomT2.16">OFFSET('Вихідні дані'!$E$3,'Поверх 2'!$Q$2,0,1,1)</definedName>
    <definedName name="RoomT2.17">OFFSET('Вихідні дані'!$E$3,'Поверх 2'!$R$2,0,1,1)</definedName>
    <definedName name="RoomT2.18">OFFSET('Вихідні дані'!$E$3,'Поверх 2'!$S$2,0,1,1)</definedName>
    <definedName name="RoomT2.19">OFFSET('Вихідні дані'!$E$3,'Поверх 2'!$T$2,0,1,1)</definedName>
    <definedName name="RoomT2.2">OFFSET('Вихідні дані'!$E$3,'Поверх 2'!$C$2,0,1,1)</definedName>
    <definedName name="RoomT2.20">OFFSET('Вихідні дані'!$E$3,'Поверх 2'!$U$2,0,1,1)</definedName>
    <definedName name="RoomT2.22" localSheetId="5">OFFSET('Вихідні дані'!$E$3,'Поверх 2'!$W$2,0,1,1)</definedName>
    <definedName name="RoomT2.3">OFFSET('Вихідні дані'!$E$3,'Поверх 2'!$D$2,0,1,1)</definedName>
    <definedName name="RoomT2.4">OFFSET('Вихідні дані'!$E$3,'Поверх 2'!$E$2,0,1,1)</definedName>
    <definedName name="RoomT2.5">OFFSET('Вихідні дані'!$E$3,'Поверх 2'!$F$2,0,1,1)</definedName>
    <definedName name="RoomT2.6">OFFSET('Вихідні дані'!$E$3,'Поверх 2'!$G$2,0,1,1)</definedName>
    <definedName name="RoomT2.7">OFFSET('Вихідні дані'!$E$3,'Поверх 2'!$H$2,0,1,1)</definedName>
    <definedName name="RoomT2.8">OFFSET('Вихідні дані'!$E$3,'Поверх 2'!$I$2,0,1,1)</definedName>
    <definedName name="RoomT2.9">OFFSET('Вихідні дані'!$E$3,'Поверх 2'!$J$2,0,1,1)</definedName>
    <definedName name="RoomT3.1" localSheetId="6">OFFSET('Вихідні дані'!$E$3,'Поверх 3'!$B$2,0,1,1)</definedName>
    <definedName name="RoomT3.10" localSheetId="6">OFFSET('Вихідні дані'!$E$3,'Поверх 3'!$K$2,0,1,1)</definedName>
    <definedName name="RoomT3.11" localSheetId="6">OFFSET('Вихідні дані'!$E$3,'Поверх 3'!$L$2,0,1,1)</definedName>
    <definedName name="RoomT3.12" localSheetId="6">OFFSET('Вихідні дані'!$E$3,'Поверх 3'!$M$2,0,1,1)</definedName>
    <definedName name="RoomT3.13" localSheetId="6">OFFSET('Вихідні дані'!$E$3,'Поверх 3'!$N$2,0,1,1)</definedName>
    <definedName name="RoomT3.14" localSheetId="6">OFFSET('Вихідні дані'!$E$3,'Поверх 3'!$O$2,0,1,1)</definedName>
    <definedName name="RoomT3.15" localSheetId="6">OFFSET('Вихідні дані'!$E$3,'Поверх 3'!$P$2,0,1,1)</definedName>
    <definedName name="RoomT3.16" localSheetId="6">OFFSET('Вихідні дані'!$E$3,'Поверх 3'!$Q$2,0,1,1)</definedName>
    <definedName name="RoomT3.17" localSheetId="6">OFFSET('Вихідні дані'!$E$3,'Поверх 3'!$R$2,0,1,1)</definedName>
    <definedName name="RoomT3.18" localSheetId="6">OFFSET('Вихідні дані'!$E$3,'Поверх 3'!$S$2,0,1,1)</definedName>
    <definedName name="RoomT3.19" localSheetId="6">OFFSET('Вихідні дані'!$E$3,'Поверх 3'!$T$2,0,1,1)</definedName>
    <definedName name="RoomT3.2" localSheetId="6">OFFSET('Вихідні дані'!$E$3,'Поверх 3'!$C$2,0,1,1)</definedName>
    <definedName name="RoomT3.20" localSheetId="6">OFFSET('Вихідні дані'!$E$3,'Поверх 3'!$U$2,0,1,1)</definedName>
    <definedName name="RoomT3.21" localSheetId="6">OFFSET('Вихідні дані'!$E$3,'Поверх 3'!$V$2,0,1,1)</definedName>
    <definedName name="RoomT3.22" localSheetId="6">OFFSET('Вихідні дані'!$E$3,'Поверх 3'!$W$2,0,1,1)</definedName>
    <definedName name="RoomT3.23" localSheetId="6">OFFSET('Вихідні дані'!$E$3,'Поверх 3'!$X$2,0,1,1)</definedName>
    <definedName name="RoomT3.24" localSheetId="6">OFFSET('Вихідні дані'!$E$3,'Поверх 3'!$Y$2,0,1,1)</definedName>
    <definedName name="RoomT3.25" localSheetId="6">OFFSET('Вихідні дані'!$E$3,'Поверх 3'!$Z$2,0,1,1)</definedName>
    <definedName name="RoomT3.3" localSheetId="6">OFFSET('Вихідні дані'!$E$3,'Поверх 3'!$D$2,0,1,1)</definedName>
    <definedName name="RoomT3.4" localSheetId="6">OFFSET('Вихідні дані'!$E$3,'Поверх 3'!$E$2,0,1,1)</definedName>
    <definedName name="RoomT3.5" localSheetId="6">OFFSET('Вихідні дані'!$E$3,'Поверх 3'!$F$2,0,1,1)</definedName>
    <definedName name="RoomT3.6" localSheetId="6">OFFSET('Вихідні дані'!$E$3,'Поверх 3'!$G$2,0,1,1)</definedName>
    <definedName name="RoomT3.7" localSheetId="6">OFFSET('Вихідні дані'!$E$3,'Поверх 3'!$H$2,0,1,1)</definedName>
    <definedName name="RoomT3.8" localSheetId="6">OFFSET('Вихідні дані'!$E$3,'Поверх 3'!$I$2,0,1,1)</definedName>
    <definedName name="RoomT3.9" localSheetId="6">OFFSET('Вихідні дані'!$E$3,'Поверх 3'!$J$2,0,1,1)</definedName>
    <definedName name="Wi_Fi_1">OFFSET(Каталог!$D$3,MATCH('Поверх 1'!$A$7,Каталог!$B$3:$B$41,0)-1,0,1,1)</definedName>
    <definedName name="Wi_Fi_2">OFFSET(Каталог!$D$3,MATCH('Поверх 2'!$A$7,Каталог!$B$3:$B$41,0)-1,0,1,1)</definedName>
    <definedName name="Wi_Fi_3">OFFSET(Каталог!$D$3,MATCH('Поверх 3'!$A$7,Каталог!$B$3:$B$41,0)-1,0,1,1)</definedName>
    <definedName name="Бездротова">Каталог!$B$5:$B$8</definedName>
    <definedName name="Дротова">Каталог!$B$21:$B$24</definedName>
    <definedName name="КолПідлоги1">OFFSET(Каталог!$D$27,MATCH('Поверх 1'!$B$27,Каталог!$B$27:$B$41,0)-1,0,1,1)</definedName>
    <definedName name="КолПідлоги2">OFFSET(Каталог!$D$27,MATCH('Поверх 1'!$L$27,Каталог!$B$27:$B$41,0)-1,0,1,1)</definedName>
    <definedName name="КолПідлоги2.1" localSheetId="5">OFFSET(Каталог!$D$27,MATCH('Поверх 2'!$B$27,Каталог!$B$27:$B$41,0)-1,0,1,1)</definedName>
    <definedName name="КолПідлоги2.2" localSheetId="5">OFFSET(Каталог!$D$27,MATCH('Поверх 2'!$L$27,Каталог!$B$27:$B$41,0)-1,0,1,1)</definedName>
    <definedName name="КолПідлоги3.1" localSheetId="6">OFFSET(Каталог!$D$27,MATCH('Поверх 3'!$B$27,Каталог!$B$27:$B$41,0)-1,0,1,1)</definedName>
    <definedName name="КолПідлоги3.2" localSheetId="6">OFFSET(Каталог!$D$27,MATCH('Поверх 3'!$L$27,Каталог!$B$27:$B$41,0)-1,0,1,1)</definedName>
    <definedName name="КолРадіатори1">OFFSET(Каталог!$D$27,MATCH('Поверх 1'!$V$27,Каталог!$B$27:$B$41,0)-1,0,1,1)</definedName>
    <definedName name="КолРадіатори2" localSheetId="5">OFFSET(Каталог!$D$27,MATCH('Поверх 2'!$V$27,Каталог!$B$27:$B$41,0)-1,0,1,1)</definedName>
    <definedName name="КолРадіатори3" localSheetId="6">OFFSET(Каталог!$D$27,MATCH('Поверх 3'!$V$27,Каталог!$B$27:$B$41,0)-1,0,1,1)</definedName>
    <definedName name="КолСтіна1">OFFSET(Каталог!$D$27,MATCH('Поверх 1'!$G$27,Каталог!$B$27:$B$41,0)-1,0,1,1)</definedName>
    <definedName name="КолСтіна2.1" localSheetId="5">OFFSET(Каталог!$D$27,MATCH('Поверх 2'!$G$27,Каталог!$B$27:$B$41,0)-1,0,1,1)</definedName>
    <definedName name="КолСтіна3.1" localSheetId="6">OFFSET(Каталог!$D$27,MATCH('Поверх 3'!$G$27,Каталог!$B$27:$B$41,0)-1,0,1,1)</definedName>
    <definedName name="КолСтіни2">OFFSET(Каталог!$D$27,MATCH('Поверх 1'!$Q$27,Каталог!$B$27:$B$41,0)-1,0,1,1)</definedName>
    <definedName name="КолСтіни2.2" localSheetId="5">OFFSET(Каталог!$D$27,MATCH('Поверх 2'!$Q$27,Каталог!$B$27:$B$41,0)-1,0,1,1)</definedName>
    <definedName name="КолСтіни3.2" localSheetId="6">OFFSET(Каталог!$D$27,MATCH('Поверх 3'!$Q$27,Каталог!$B$27:$B$41,0)-1,0,1,1)</definedName>
    <definedName name="КолФанкойли">OFFSET(Каталог!$D$27,MATCH('Поверх 1'!$AA$27,Каталог!$B$27:$B$41,0)-1,0,1,1)</definedName>
    <definedName name="КолФанкойли2" localSheetId="5">OFFSET(Каталог!$D$27,MATCH('Поверх 2'!$AA$27,Каталог!$B$27:$B$41,0)-1,0,1,1)</definedName>
    <definedName name="КолФанкойли3" localSheetId="6">OFFSET(Каталог!$D$27,MATCH('Поверх 3'!$AA$27,Каталог!$B$27:$B$41,0)-1,0,1,1)</definedName>
    <definedName name="Контролер1">OFFSET(Каталог!$D$3,MATCH('Поверх 1'!$B$16,Каталог!$B$3:$B$41,0)-1,0,1,1)</definedName>
    <definedName name="Контролер2">OFFSET(Каталог!$D$3,MATCH('Поверх 1'!$J$16,Каталог!$B$3:$B$41,0)-1,0,1,1)</definedName>
    <definedName name="Контролер2.1" localSheetId="5">OFFSET(Каталог!$D$3,MATCH('Поверх 2'!$B$16,Каталог!$B$3:$B$41,0)-1,0,1,1)</definedName>
    <definedName name="Контролер2.2" localSheetId="5">OFFSET(Каталог!$D$3,MATCH('Поверх 2'!$J$16,Каталог!$B$3:$B$41,0)-1,0,1,1)</definedName>
    <definedName name="Контролер2.3" localSheetId="5">OFFSET(Каталог!$D$3,MATCH('Поверх 2'!$R$16,Каталог!$B$3:$B$41,0)-1,0,1,1)</definedName>
    <definedName name="Контролер2.4" localSheetId="5">OFFSET(Каталог!$D$3,MATCH('Поверх 2'!$Z$16,Каталог!$B$3:$B$41,0)-1,0,1,1)</definedName>
    <definedName name="Контролер3">OFFSET(Каталог!$D$3,MATCH('Поверх 1'!$R$16,Каталог!$B$3:$B$41,0)-1,0,1,1)</definedName>
    <definedName name="Контролер3.1" localSheetId="6">OFFSET(Каталог!$D$3,MATCH('Поверх 3'!$B$16,Каталог!$B$3:$B$41,0)-1,0,1,1)</definedName>
    <definedName name="Контролер3.2" localSheetId="6">OFFSET(Каталог!$D$3,MATCH('Поверх 3'!$J$16,Каталог!$B$3:$B$41,0)-1,0,1,1)</definedName>
    <definedName name="Контролер3.3" localSheetId="6">OFFSET(Каталог!$D$3,MATCH('Поверх 3'!$R$16,Каталог!$B$3:$B$41,0)-1,0,1,1)</definedName>
    <definedName name="Контролер3.4" localSheetId="6">OFFSET(Каталог!$D$3,MATCH('Поверх 3'!$Z$16,Каталог!$B$3:$B$41,0)-1,0,1,1)</definedName>
    <definedName name="Контролер4">OFFSET(Каталог!$D$3,MATCH('Поверх 1'!$Z$16,Каталог!$B$3:$B$41,0)-1,0,1,1)</definedName>
    <definedName name="_xlnm.Print_Area" localSheetId="0">'Price_List 2023 UA'!$A$1:$G$1711</definedName>
    <definedName name="_xlnm.Print_Area" localSheetId="8">Друк!$A$1:$E$136</definedName>
    <definedName name="_xlnm.Print_Area" localSheetId="2">Інструкція!$A$1:$J$7</definedName>
    <definedName name="Розширення1">OFFSET(Каталог!$D$3,MATCH('Поверх 1'!$F$16,Каталог!$B$3:$B$41,0)-1,0,1,1)</definedName>
    <definedName name="Розширення2">OFFSET(Каталог!$D$3,MATCH('Поверх 1'!$N$16,Каталог!$B$3:$B$41,0)-1,0,1,1)</definedName>
    <definedName name="Розширення2.1" localSheetId="5">OFFSET(Каталог!$D$3,MATCH('Поверх 2'!$F$16,Каталог!$B$3:$B$41,0)-1,0,1,1)</definedName>
    <definedName name="Розширення2.2" localSheetId="5">OFFSET(Каталог!$D$3,MATCH('Поверх 2'!$N$16,Каталог!$B$3:$B$41,0)-1,0,1,1)</definedName>
    <definedName name="Розширення2.3" localSheetId="5">OFFSET(Каталог!$D$3,MATCH('Поверх 2'!$V$16,Каталог!$B$3:$B$41,0)-1,0,1,1)</definedName>
    <definedName name="Розширення2.4" localSheetId="5">OFFSET(Каталог!$D$3,MATCH('Поверх 2'!$AD$16,Каталог!$B$3:$B$41,0)-1,0,1,1)</definedName>
    <definedName name="Розширення3">OFFSET(Каталог!$D$3,MATCH('Поверх 1'!$V$16,Каталог!$B$3:$B$41,0)-1,0,1,1)</definedName>
    <definedName name="Розширення3.1" localSheetId="6">OFFSET(Каталог!$D$3,MATCH('Поверх 3'!$F$16,Каталог!$B$3:$B$41,0)-1,0,1,1)</definedName>
    <definedName name="Розширення3.2" localSheetId="6">OFFSET(Каталог!$D$3,MATCH('Поверх 3'!$N$16,Каталог!$B$3:$B$41,0)-1,0,1,1)</definedName>
    <definedName name="Розширення3.3" localSheetId="6">OFFSET(Каталог!$D$3,MATCH('Поверх 3'!$V$16,Каталог!$B$3:$B$41,0)-1,0,1,1)</definedName>
    <definedName name="Розширення3.4" localSheetId="6">OFFSET(Каталог!$D$3,MATCH('Поверх 3'!$AD$16,Каталог!$B$3:$B$41,0)-1,0,1,1)</definedName>
    <definedName name="Розширення4">OFFSET(Каталог!$D$3,MATCH('Поверх 1'!$AD$16,Каталог!$B$3:$B$41,0)-1,0,1,1)</definedName>
    <definedName name="Спец">Специфікація!$B$5:$G$27</definedName>
    <definedName name="Фото">OFFSET(Каталог!$C$5,MATCH('Вихідні дані'!$C$4,Каталог!$D$5:$D$8,0)-1,0,1,1)</definedName>
    <definedName name="Фото2">OFFSET(Каталог!$D$5,MATCH('Вихідні дані'!$C$4,Каталог!$B$5:$B$35,0)-1,0,1,1)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4" l="1"/>
  <c r="C14" i="14"/>
  <c r="C15" i="14"/>
  <c r="C16" i="14"/>
  <c r="C17" i="14"/>
  <c r="C20" i="14"/>
  <c r="C21" i="14"/>
  <c r="C22" i="14"/>
  <c r="C23" i="14"/>
  <c r="C24" i="14"/>
  <c r="C25" i="14"/>
  <c r="C26" i="14"/>
  <c r="D13" i="14"/>
  <c r="D14" i="14"/>
  <c r="D15" i="14"/>
  <c r="D16" i="14"/>
  <c r="D17" i="14"/>
  <c r="D20" i="14"/>
  <c r="D21" i="14"/>
  <c r="D22" i="14"/>
  <c r="D23" i="14"/>
  <c r="D24" i="14"/>
  <c r="D25" i="14"/>
  <c r="D26" i="14"/>
  <c r="H1222" i="24"/>
  <c r="B113" i="20" l="1"/>
  <c r="E16" i="14"/>
  <c r="G16" i="14" s="1"/>
  <c r="D113" i="20"/>
  <c r="A113" i="20"/>
  <c r="C113" i="20" l="1"/>
  <c r="E113" i="20" s="1"/>
  <c r="D125" i="20"/>
  <c r="A102" i="20"/>
  <c r="B102" i="20"/>
  <c r="C102" i="20"/>
  <c r="D102" i="20"/>
  <c r="E102" i="20"/>
  <c r="D104" i="20"/>
  <c r="D105" i="20"/>
  <c r="D106" i="20"/>
  <c r="D107" i="20"/>
  <c r="D108" i="20"/>
  <c r="D109" i="20"/>
  <c r="A110" i="20"/>
  <c r="D110" i="20"/>
  <c r="A111" i="20"/>
  <c r="D111" i="20"/>
  <c r="A112" i="20"/>
  <c r="D112" i="20"/>
  <c r="A114" i="20"/>
  <c r="D114" i="20"/>
  <c r="D115" i="20"/>
  <c r="D116" i="20"/>
  <c r="A117" i="20"/>
  <c r="D117" i="20"/>
  <c r="A118" i="20"/>
  <c r="D118" i="20"/>
  <c r="A119" i="20"/>
  <c r="D119" i="20"/>
  <c r="A120" i="20"/>
  <c r="D120" i="20"/>
  <c r="A121" i="20"/>
  <c r="D121" i="20"/>
  <c r="A122" i="20"/>
  <c r="D122" i="20"/>
  <c r="A123" i="20"/>
  <c r="D123" i="20"/>
  <c r="B110" i="20" l="1"/>
  <c r="C110" i="20"/>
  <c r="E110" i="20" s="1"/>
  <c r="B111" i="20"/>
  <c r="C111" i="20"/>
  <c r="E111" i="20" s="1"/>
  <c r="B112" i="20"/>
  <c r="C112" i="20"/>
  <c r="E112" i="20" s="1"/>
  <c r="B114" i="20"/>
  <c r="C114" i="20"/>
  <c r="E114" i="20" s="1"/>
  <c r="B117" i="20"/>
  <c r="C117" i="20"/>
  <c r="E117" i="20" s="1"/>
  <c r="B118" i="20"/>
  <c r="C118" i="20"/>
  <c r="E118" i="20" s="1"/>
  <c r="B119" i="20"/>
  <c r="C119" i="20"/>
  <c r="E119" i="20" s="1"/>
  <c r="B120" i="20"/>
  <c r="C120" i="20"/>
  <c r="E120" i="20" s="1"/>
  <c r="B121" i="20"/>
  <c r="C121" i="20"/>
  <c r="E121" i="20" s="1"/>
  <c r="B122" i="20"/>
  <c r="C122" i="20"/>
  <c r="E122" i="20" s="1"/>
  <c r="B123" i="20"/>
  <c r="C123" i="20"/>
  <c r="E123" i="20" s="1"/>
  <c r="B95" i="15" l="1"/>
  <c r="E21" i="14"/>
  <c r="E15" i="14"/>
  <c r="G105" i="15"/>
  <c r="E22" i="14"/>
  <c r="E25" i="14"/>
  <c r="B8" i="14"/>
  <c r="B7" i="14"/>
  <c r="E20" i="14"/>
  <c r="E24" i="14"/>
  <c r="E26" i="14"/>
  <c r="B18" i="14"/>
  <c r="B19" i="14"/>
  <c r="E13" i="14"/>
  <c r="E14" i="14"/>
  <c r="E17" i="14"/>
  <c r="B12" i="14"/>
  <c r="B11" i="14"/>
  <c r="B10" i="14"/>
  <c r="B9" i="14"/>
  <c r="C6" i="14"/>
  <c r="B103" i="20" s="1"/>
  <c r="D9" i="14" l="1"/>
  <c r="C9" i="14"/>
  <c r="C18" i="14"/>
  <c r="B115" i="20" s="1"/>
  <c r="D18" i="14"/>
  <c r="C115" i="20" s="1"/>
  <c r="E115" i="20" s="1"/>
  <c r="D7" i="14"/>
  <c r="C7" i="14"/>
  <c r="D10" i="14"/>
  <c r="C10" i="14"/>
  <c r="B107" i="20" s="1"/>
  <c r="C8" i="14"/>
  <c r="D8" i="14"/>
  <c r="D11" i="14"/>
  <c r="C108" i="20" s="1"/>
  <c r="E108" i="20" s="1"/>
  <c r="C11" i="14"/>
  <c r="B108" i="20" s="1"/>
  <c r="C12" i="14"/>
  <c r="B109" i="20" s="1"/>
  <c r="D12" i="14"/>
  <c r="C109" i="20" s="1"/>
  <c r="E109" i="20" s="1"/>
  <c r="D19" i="14"/>
  <c r="C19" i="14"/>
  <c r="B116" i="20" s="1"/>
  <c r="B106" i="20"/>
  <c r="A106" i="20"/>
  <c r="A115" i="20"/>
  <c r="A104" i="20"/>
  <c r="A107" i="20"/>
  <c r="A105" i="20"/>
  <c r="B105" i="20"/>
  <c r="C105" i="20"/>
  <c r="E105" i="20" s="1"/>
  <c r="A108" i="20"/>
  <c r="A109" i="20"/>
  <c r="A116" i="20"/>
  <c r="G15" i="14"/>
  <c r="G21" i="14"/>
  <c r="B104" i="20"/>
  <c r="E23" i="14"/>
  <c r="G23" i="14" s="1"/>
  <c r="G25" i="14"/>
  <c r="G22" i="14"/>
  <c r="G24" i="14"/>
  <c r="E11" i="14" l="1"/>
  <c r="E10" i="14"/>
  <c r="C107" i="20"/>
  <c r="E107" i="20" s="1"/>
  <c r="C104" i="20"/>
  <c r="E104" i="20" s="1"/>
  <c r="E124" i="20"/>
  <c r="E19" i="14"/>
  <c r="C116" i="20"/>
  <c r="E116" i="20" s="1"/>
  <c r="E9" i="14"/>
  <c r="C106" i="20"/>
  <c r="E106" i="20" s="1"/>
  <c r="E8" i="14"/>
  <c r="E7" i="14"/>
  <c r="E12" i="14"/>
  <c r="E18" i="14"/>
  <c r="G13" i="15"/>
  <c r="O13" i="15" s="1"/>
  <c r="G14" i="15"/>
  <c r="O14" i="15" s="1"/>
  <c r="G15" i="15"/>
  <c r="H15" i="15" s="1"/>
  <c r="G16" i="15"/>
  <c r="O16" i="15" s="1"/>
  <c r="G17" i="15"/>
  <c r="O17" i="15" s="1"/>
  <c r="G18" i="15"/>
  <c r="O18" i="15" s="1"/>
  <c r="G19" i="15"/>
  <c r="H19" i="15" s="1"/>
  <c r="G20" i="15"/>
  <c r="O20" i="15" s="1"/>
  <c r="G21" i="15"/>
  <c r="O21" i="15" s="1"/>
  <c r="G22" i="15"/>
  <c r="O22" i="15" s="1"/>
  <c r="G23" i="15"/>
  <c r="H23" i="15" s="1"/>
  <c r="G24" i="15"/>
  <c r="O24" i="15" s="1"/>
  <c r="G25" i="15"/>
  <c r="O25" i="15" s="1"/>
  <c r="G26" i="15"/>
  <c r="O26" i="15" s="1"/>
  <c r="G27" i="15"/>
  <c r="H27" i="15" s="1"/>
  <c r="G28" i="15"/>
  <c r="O28" i="15" s="1"/>
  <c r="G29" i="15"/>
  <c r="O29" i="15" s="1"/>
  <c r="G30" i="15"/>
  <c r="O30" i="15" s="1"/>
  <c r="G31" i="15"/>
  <c r="H31" i="15" s="1"/>
  <c r="G32" i="15"/>
  <c r="H32" i="15" s="1"/>
  <c r="G44" i="15"/>
  <c r="O44" i="15" s="1"/>
  <c r="G45" i="15"/>
  <c r="Q45" i="15" s="1"/>
  <c r="G46" i="15"/>
  <c r="H46" i="15" s="1"/>
  <c r="G47" i="15"/>
  <c r="O47" i="15" s="1"/>
  <c r="G48" i="15"/>
  <c r="O48" i="15" s="1"/>
  <c r="G49" i="15"/>
  <c r="O49" i="15" s="1"/>
  <c r="G50" i="15"/>
  <c r="O50" i="15" s="1"/>
  <c r="G51" i="15"/>
  <c r="Q51" i="15" s="1"/>
  <c r="G52" i="15"/>
  <c r="O52" i="15" s="1"/>
  <c r="G53" i="15"/>
  <c r="Q53" i="15" s="1"/>
  <c r="G54" i="15"/>
  <c r="O54" i="15" s="1"/>
  <c r="G55" i="15"/>
  <c r="H55" i="15" s="1"/>
  <c r="K55" i="15" s="1"/>
  <c r="G56" i="15"/>
  <c r="O56" i="15" s="1"/>
  <c r="G57" i="15"/>
  <c r="Q57" i="15" s="1"/>
  <c r="G58" i="15"/>
  <c r="O58" i="15" s="1"/>
  <c r="G59" i="15"/>
  <c r="H59" i="15" s="1"/>
  <c r="K59" i="15" s="1"/>
  <c r="G60" i="15"/>
  <c r="O60" i="15" s="1"/>
  <c r="G61" i="15"/>
  <c r="Q61" i="15" s="1"/>
  <c r="G62" i="15"/>
  <c r="O62" i="15" s="1"/>
  <c r="G63" i="15"/>
  <c r="H63" i="15" s="1"/>
  <c r="K63" i="15" s="1"/>
  <c r="S75" i="15"/>
  <c r="G76" i="15"/>
  <c r="H76" i="15" s="1"/>
  <c r="G77" i="15"/>
  <c r="H77" i="15" s="1"/>
  <c r="G78" i="15"/>
  <c r="H78" i="15" s="1"/>
  <c r="K78" i="15" s="1"/>
  <c r="G79" i="15"/>
  <c r="Q79" i="15" s="1"/>
  <c r="G80" i="15"/>
  <c r="H80" i="15" s="1"/>
  <c r="G81" i="15"/>
  <c r="H81" i="15" s="1"/>
  <c r="G82" i="15"/>
  <c r="H82" i="15" s="1"/>
  <c r="K82" i="15" s="1"/>
  <c r="G83" i="15"/>
  <c r="O83" i="15" s="1"/>
  <c r="G84" i="15"/>
  <c r="H84" i="15" s="1"/>
  <c r="I84" i="15" s="1"/>
  <c r="G85" i="15"/>
  <c r="H85" i="15" s="1"/>
  <c r="G86" i="15"/>
  <c r="O86" i="15" s="1"/>
  <c r="G87" i="15"/>
  <c r="O87" i="15" s="1"/>
  <c r="G88" i="15"/>
  <c r="H88" i="15" s="1"/>
  <c r="G89" i="15"/>
  <c r="H89" i="15" s="1"/>
  <c r="G90" i="15"/>
  <c r="H90" i="15" s="1"/>
  <c r="G91" i="15"/>
  <c r="O91" i="15" s="1"/>
  <c r="G92" i="15"/>
  <c r="H92" i="15" s="1"/>
  <c r="G93" i="15"/>
  <c r="H93" i="15" s="1"/>
  <c r="G94" i="15"/>
  <c r="H94" i="15" s="1"/>
  <c r="J94" i="15" s="1"/>
  <c r="G75" i="15"/>
  <c r="H75" i="15" s="1"/>
  <c r="I75" i="15" s="1"/>
  <c r="F95" i="15"/>
  <c r="E95" i="15"/>
  <c r="AA27" i="18" s="1"/>
  <c r="AA28" i="18" s="1"/>
  <c r="D95" i="15"/>
  <c r="V27" i="18" s="1"/>
  <c r="V28" i="18" s="1"/>
  <c r="C95" i="15"/>
  <c r="N94" i="15"/>
  <c r="M94" i="15"/>
  <c r="N93" i="15"/>
  <c r="M93" i="15"/>
  <c r="N92" i="15"/>
  <c r="M92" i="15"/>
  <c r="N91" i="15"/>
  <c r="M91" i="15"/>
  <c r="N90" i="15"/>
  <c r="M90" i="15"/>
  <c r="N89" i="15"/>
  <c r="M89" i="15"/>
  <c r="N88" i="15"/>
  <c r="M88" i="15"/>
  <c r="N87" i="15"/>
  <c r="M87" i="15"/>
  <c r="N86" i="15"/>
  <c r="M86" i="15"/>
  <c r="N85" i="15"/>
  <c r="M85" i="15"/>
  <c r="N84" i="15"/>
  <c r="M84" i="15"/>
  <c r="N83" i="15"/>
  <c r="M83" i="15"/>
  <c r="N82" i="15"/>
  <c r="M82" i="15"/>
  <c r="N81" i="15"/>
  <c r="M81" i="15"/>
  <c r="N80" i="15"/>
  <c r="M80" i="15"/>
  <c r="N79" i="15"/>
  <c r="M79" i="15"/>
  <c r="N78" i="15"/>
  <c r="M78" i="15"/>
  <c r="N77" i="15"/>
  <c r="M77" i="15"/>
  <c r="N76" i="15"/>
  <c r="M76" i="15"/>
  <c r="A76" i="15"/>
  <c r="A77" i="15" s="1"/>
  <c r="A78" i="15" s="1"/>
  <c r="N75" i="15"/>
  <c r="M75" i="15"/>
  <c r="S44" i="15"/>
  <c r="F64" i="15"/>
  <c r="E64" i="15"/>
  <c r="AA27" i="17" s="1"/>
  <c r="AA28" i="17" s="1"/>
  <c r="D64" i="15"/>
  <c r="V27" i="17" s="1"/>
  <c r="V28" i="17" s="1"/>
  <c r="C64" i="15"/>
  <c r="A67" i="15" s="1"/>
  <c r="Q27" i="17" s="1"/>
  <c r="Q28" i="17" s="1"/>
  <c r="B64" i="15"/>
  <c r="N63" i="15"/>
  <c r="M63" i="15"/>
  <c r="N62" i="15"/>
  <c r="M62" i="15"/>
  <c r="N61" i="15"/>
  <c r="M61" i="15"/>
  <c r="N60" i="15"/>
  <c r="M60" i="15"/>
  <c r="N59" i="15"/>
  <c r="M59" i="15"/>
  <c r="N58" i="15"/>
  <c r="M58" i="15"/>
  <c r="N57" i="15"/>
  <c r="M57" i="15"/>
  <c r="N56" i="15"/>
  <c r="M56" i="15"/>
  <c r="N55" i="15"/>
  <c r="M55" i="15"/>
  <c r="N54" i="15"/>
  <c r="M54" i="15"/>
  <c r="N53" i="15"/>
  <c r="M53" i="15"/>
  <c r="N52" i="15"/>
  <c r="M52" i="15"/>
  <c r="N51" i="15"/>
  <c r="M51" i="15"/>
  <c r="N50" i="15"/>
  <c r="M50" i="15"/>
  <c r="N49" i="15"/>
  <c r="M49" i="15"/>
  <c r="N48" i="15"/>
  <c r="M48" i="15"/>
  <c r="N47" i="15"/>
  <c r="M47" i="15"/>
  <c r="N46" i="15"/>
  <c r="M46" i="15"/>
  <c r="N45" i="15"/>
  <c r="M45" i="15"/>
  <c r="A45" i="15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N44" i="15"/>
  <c r="M44" i="15"/>
  <c r="A96" i="15" a="1"/>
  <c r="A65" i="15" a="1"/>
  <c r="Q76" i="15" l="1"/>
  <c r="Q50" i="15"/>
  <c r="Q58" i="15"/>
  <c r="Q47" i="15"/>
  <c r="O88" i="15"/>
  <c r="C106" i="15"/>
  <c r="Q56" i="15"/>
  <c r="Q78" i="15"/>
  <c r="H50" i="15"/>
  <c r="K50" i="15" s="1"/>
  <c r="H47" i="15"/>
  <c r="K47" i="15" s="1"/>
  <c r="Q52" i="15"/>
  <c r="O90" i="15"/>
  <c r="H20" i="15"/>
  <c r="Q55" i="15"/>
  <c r="Q59" i="15"/>
  <c r="Q63" i="15"/>
  <c r="Q86" i="15"/>
  <c r="O82" i="15"/>
  <c r="Q62" i="15"/>
  <c r="Q82" i="15"/>
  <c r="Q88" i="15"/>
  <c r="O78" i="15"/>
  <c r="H16" i="15"/>
  <c r="H62" i="15"/>
  <c r="I62" i="15" s="1"/>
  <c r="O63" i="15"/>
  <c r="Q54" i="15"/>
  <c r="Q94" i="15"/>
  <c r="H86" i="15"/>
  <c r="K86" i="15" s="1"/>
  <c r="H58" i="15"/>
  <c r="J58" i="15" s="1"/>
  <c r="H28" i="15"/>
  <c r="O32" i="15"/>
  <c r="Q93" i="15"/>
  <c r="H54" i="15"/>
  <c r="I54" i="15" s="1"/>
  <c r="H24" i="15"/>
  <c r="Q49" i="15"/>
  <c r="Q92" i="15"/>
  <c r="O89" i="15"/>
  <c r="H56" i="15"/>
  <c r="J56" i="15" s="1"/>
  <c r="H45" i="15"/>
  <c r="K45" i="15" s="1"/>
  <c r="O59" i="15"/>
  <c r="H30" i="15"/>
  <c r="H22" i="15"/>
  <c r="H14" i="15"/>
  <c r="Q60" i="15"/>
  <c r="O55" i="15"/>
  <c r="H60" i="15"/>
  <c r="I60" i="15" s="1"/>
  <c r="H52" i="15"/>
  <c r="I52" i="15" s="1"/>
  <c r="H26" i="15"/>
  <c r="H18" i="15"/>
  <c r="O46" i="15"/>
  <c r="Q46" i="15"/>
  <c r="O31" i="15"/>
  <c r="O27" i="15"/>
  <c r="O23" i="15"/>
  <c r="O19" i="15"/>
  <c r="O15" i="15"/>
  <c r="Q87" i="15"/>
  <c r="Q90" i="15"/>
  <c r="O94" i="15"/>
  <c r="H61" i="15"/>
  <c r="J61" i="15" s="1"/>
  <c r="H57" i="15"/>
  <c r="K57" i="15" s="1"/>
  <c r="H53" i="15"/>
  <c r="J53" i="15" s="1"/>
  <c r="H51" i="15"/>
  <c r="K51" i="15" s="1"/>
  <c r="H49" i="15"/>
  <c r="J49" i="15" s="1"/>
  <c r="O61" i="15"/>
  <c r="O57" i="15"/>
  <c r="O53" i="15"/>
  <c r="H29" i="15"/>
  <c r="H25" i="15"/>
  <c r="H21" i="15"/>
  <c r="H17" i="15"/>
  <c r="E106" i="15"/>
  <c r="Q80" i="15"/>
  <c r="Q84" i="15"/>
  <c r="O76" i="15"/>
  <c r="Q85" i="15"/>
  <c r="Q89" i="15"/>
  <c r="O84" i="15"/>
  <c r="Q44" i="15"/>
  <c r="H44" i="15"/>
  <c r="K44" i="15" s="1"/>
  <c r="H13" i="15"/>
  <c r="K13" i="15" s="1"/>
  <c r="Q48" i="15"/>
  <c r="H48" i="15"/>
  <c r="J48" i="15" s="1"/>
  <c r="G27" i="17"/>
  <c r="G28" i="17" s="1"/>
  <c r="O45" i="15"/>
  <c r="O51" i="15"/>
  <c r="D41" i="15"/>
  <c r="J63" i="15"/>
  <c r="I63" i="15"/>
  <c r="K90" i="15"/>
  <c r="O93" i="15"/>
  <c r="O77" i="15"/>
  <c r="Q77" i="15"/>
  <c r="O92" i="15"/>
  <c r="O81" i="15"/>
  <c r="Q81" i="15"/>
  <c r="O85" i="15"/>
  <c r="O80" i="15"/>
  <c r="I93" i="15"/>
  <c r="K93" i="15"/>
  <c r="J81" i="15"/>
  <c r="K81" i="15"/>
  <c r="J77" i="15"/>
  <c r="K77" i="15"/>
  <c r="K80" i="15"/>
  <c r="J80" i="15"/>
  <c r="O75" i="15"/>
  <c r="J78" i="15"/>
  <c r="K94" i="15"/>
  <c r="H91" i="15"/>
  <c r="K91" i="15" s="1"/>
  <c r="H87" i="15"/>
  <c r="K87" i="15" s="1"/>
  <c r="H83" i="15"/>
  <c r="H79" i="15"/>
  <c r="K79" i="15" s="1"/>
  <c r="I94" i="15"/>
  <c r="Q83" i="15"/>
  <c r="Q91" i="15"/>
  <c r="O79" i="15"/>
  <c r="Q75" i="15"/>
  <c r="K75" i="15"/>
  <c r="A96" i="15"/>
  <c r="A79" i="15"/>
  <c r="A80" i="15" s="1"/>
  <c r="A81" i="15" s="1"/>
  <c r="A82" i="15" s="1"/>
  <c r="J82" i="15" s="1"/>
  <c r="I78" i="15"/>
  <c r="J76" i="15"/>
  <c r="K76" i="15"/>
  <c r="K85" i="15"/>
  <c r="J85" i="15"/>
  <c r="I85" i="15"/>
  <c r="I76" i="15"/>
  <c r="G95" i="15"/>
  <c r="Q95" i="15" s="1"/>
  <c r="J55" i="15"/>
  <c r="D72" i="15"/>
  <c r="J75" i="15"/>
  <c r="I77" i="15"/>
  <c r="J84" i="15"/>
  <c r="K84" i="15"/>
  <c r="J88" i="15"/>
  <c r="I88" i="15"/>
  <c r="K89" i="15"/>
  <c r="J89" i="15"/>
  <c r="K92" i="15"/>
  <c r="J92" i="15"/>
  <c r="I92" i="15"/>
  <c r="I80" i="15"/>
  <c r="I81" i="15"/>
  <c r="K88" i="15"/>
  <c r="I89" i="15"/>
  <c r="J93" i="15"/>
  <c r="A65" i="15"/>
  <c r="A56" i="15"/>
  <c r="A57" i="15" s="1"/>
  <c r="A58" i="15" s="1"/>
  <c r="A59" i="15" s="1"/>
  <c r="J59" i="15" s="1"/>
  <c r="I55" i="15"/>
  <c r="K46" i="15"/>
  <c r="I46" i="15"/>
  <c r="J46" i="15"/>
  <c r="G64" i="15"/>
  <c r="M13" i="15"/>
  <c r="N13" i="15"/>
  <c r="S13" i="15"/>
  <c r="A14" i="15"/>
  <c r="Q14" i="15"/>
  <c r="M14" i="15"/>
  <c r="N14" i="15"/>
  <c r="J14" i="15" l="1"/>
  <c r="K61" i="15"/>
  <c r="I45" i="15"/>
  <c r="K48" i="15"/>
  <c r="J50" i="15"/>
  <c r="K60" i="15"/>
  <c r="K56" i="15"/>
  <c r="I50" i="15"/>
  <c r="I47" i="15"/>
  <c r="J47" i="15"/>
  <c r="K52" i="15"/>
  <c r="I56" i="15"/>
  <c r="J60" i="15"/>
  <c r="I53" i="15"/>
  <c r="K62" i="15"/>
  <c r="I48" i="15"/>
  <c r="K53" i="15"/>
  <c r="J62" i="15"/>
  <c r="AC72" i="15" a="1"/>
  <c r="AC72" i="15" s="1"/>
  <c r="V2" i="18" s="1"/>
  <c r="K49" i="15"/>
  <c r="K58" i="15"/>
  <c r="J54" i="15"/>
  <c r="I58" i="15"/>
  <c r="K54" i="15"/>
  <c r="I61" i="15"/>
  <c r="I49" i="15"/>
  <c r="J45" i="15"/>
  <c r="J51" i="15"/>
  <c r="I51" i="15"/>
  <c r="J52" i="15"/>
  <c r="J83" i="15"/>
  <c r="K83" i="15"/>
  <c r="R41" i="15" a="1"/>
  <c r="R41" i="15" s="1"/>
  <c r="K2" i="17" s="1"/>
  <c r="AQ41" i="15" a="1"/>
  <c r="AQ41" i="15" s="1"/>
  <c r="AJ2" i="17" s="1"/>
  <c r="Q43" i="15"/>
  <c r="T44" i="15" s="1"/>
  <c r="Q64" i="15"/>
  <c r="I79" i="15"/>
  <c r="W41" i="15" a="1"/>
  <c r="W41" i="15" s="1"/>
  <c r="P2" i="17" s="1"/>
  <c r="J57" i="15"/>
  <c r="J44" i="15"/>
  <c r="N41" i="15" a="1"/>
  <c r="N41" i="15" s="1"/>
  <c r="G2" i="17" s="1"/>
  <c r="Y72" i="15" a="1"/>
  <c r="Y72" i="15" s="1"/>
  <c r="R2" i="18" s="1"/>
  <c r="I44" i="15"/>
  <c r="I57" i="15"/>
  <c r="Q74" i="15"/>
  <c r="T75" i="15" s="1"/>
  <c r="R75" i="15" s="1"/>
  <c r="V75" i="15" s="1"/>
  <c r="V41" i="15" a="1"/>
  <c r="V41" i="15" s="1"/>
  <c r="O2" i="17" s="1"/>
  <c r="J79" i="15"/>
  <c r="AJ72" i="15" a="1"/>
  <c r="AJ72" i="15" s="1"/>
  <c r="AC2" i="18" s="1"/>
  <c r="AS72" i="15" a="1"/>
  <c r="AS72" i="15" s="1"/>
  <c r="AL2" i="18" s="1"/>
  <c r="AG72" i="15" a="1"/>
  <c r="AG72" i="15" s="1"/>
  <c r="Z2" i="18" s="1"/>
  <c r="I72" i="15" a="1"/>
  <c r="I72" i="15" s="1"/>
  <c r="B2" i="18" s="1"/>
  <c r="AI72" i="15" a="1"/>
  <c r="AI72" i="15" s="1"/>
  <c r="AB2" i="18" s="1"/>
  <c r="AL72" i="15" a="1"/>
  <c r="AL72" i="15" s="1"/>
  <c r="AE2" i="18" s="1"/>
  <c r="Q72" i="15" a="1"/>
  <c r="Q72" i="15" s="1"/>
  <c r="J2" i="18" s="1"/>
  <c r="N72" i="15" a="1"/>
  <c r="N72" i="15" s="1"/>
  <c r="G2" i="18" s="1"/>
  <c r="AA41" i="15" a="1"/>
  <c r="AA41" i="15" s="1"/>
  <c r="T2" i="17" s="1"/>
  <c r="O41" i="15" a="1"/>
  <c r="O41" i="15" s="1"/>
  <c r="H2" i="17" s="1"/>
  <c r="K41" i="15" a="1"/>
  <c r="K41" i="15" s="1"/>
  <c r="D2" i="17" s="1"/>
  <c r="AD41" i="15" a="1"/>
  <c r="AD41" i="15" s="1"/>
  <c r="W2" i="17" s="1"/>
  <c r="AH41" i="15" a="1"/>
  <c r="AH41" i="15" s="1"/>
  <c r="AA2" i="17" s="1"/>
  <c r="AL41" i="15" a="1"/>
  <c r="AL41" i="15" s="1"/>
  <c r="AE2" i="17" s="1"/>
  <c r="AN41" i="15" a="1"/>
  <c r="AN41" i="15" s="1"/>
  <c r="AG2" i="17" s="1"/>
  <c r="AS41" i="15" a="1"/>
  <c r="AS41" i="15" s="1"/>
  <c r="AL2" i="17" s="1"/>
  <c r="M41" i="15" a="1"/>
  <c r="M41" i="15" s="1"/>
  <c r="F2" i="17" s="1"/>
  <c r="T41" i="15" a="1"/>
  <c r="T41" i="15" s="1"/>
  <c r="M2" i="17" s="1"/>
  <c r="AM41" i="15" a="1"/>
  <c r="AM41" i="15" s="1"/>
  <c r="AF2" i="17" s="1"/>
  <c r="AI41" i="15" a="1"/>
  <c r="AI41" i="15" s="1"/>
  <c r="AB2" i="17" s="1"/>
  <c r="S41" i="15" a="1"/>
  <c r="S41" i="15" s="1"/>
  <c r="L2" i="17" s="1"/>
  <c r="AP41" i="15" a="1"/>
  <c r="AP41" i="15" s="1"/>
  <c r="AI2" i="17" s="1"/>
  <c r="Z41" i="15" a="1"/>
  <c r="Z41" i="15" s="1"/>
  <c r="S2" i="17" s="1"/>
  <c r="J41" i="15" a="1"/>
  <c r="J41" i="15" s="1"/>
  <c r="C2" i="17" s="1"/>
  <c r="AE41" i="15" a="1"/>
  <c r="AE41" i="15" s="1"/>
  <c r="X2" i="17" s="1"/>
  <c r="AG41" i="15" a="1"/>
  <c r="AG41" i="15" s="1"/>
  <c r="Z2" i="17" s="1"/>
  <c r="AO41" i="15" a="1"/>
  <c r="AO41" i="15" s="1"/>
  <c r="AH2" i="17" s="1"/>
  <c r="AB41" i="15" a="1"/>
  <c r="AB41" i="15" s="1"/>
  <c r="U2" i="17" s="1"/>
  <c r="X41" i="15" a="1"/>
  <c r="X41" i="15" s="1"/>
  <c r="Q2" i="17" s="1"/>
  <c r="AC41" i="15" a="1"/>
  <c r="AC41" i="15" s="1"/>
  <c r="V2" i="17" s="1"/>
  <c r="AT41" i="15" a="1"/>
  <c r="AT41" i="15" s="1"/>
  <c r="AM2" i="17" s="1"/>
  <c r="Y41" i="15" a="1"/>
  <c r="Y41" i="15" s="1"/>
  <c r="R2" i="17" s="1"/>
  <c r="AJ41" i="15" a="1"/>
  <c r="AJ41" i="15" s="1"/>
  <c r="AC2" i="17" s="1"/>
  <c r="L41" i="15" a="1"/>
  <c r="L41" i="15" s="1"/>
  <c r="E2" i="17" s="1"/>
  <c r="AR41" i="15" a="1"/>
  <c r="AR41" i="15" s="1"/>
  <c r="AK2" i="17" s="1"/>
  <c r="AV41" i="15" a="1"/>
  <c r="AV41" i="15" s="1"/>
  <c r="AO2" i="17" s="1"/>
  <c r="AF41" i="15" a="1"/>
  <c r="AF41" i="15" s="1"/>
  <c r="Y2" i="17" s="1"/>
  <c r="P41" i="15" a="1"/>
  <c r="P41" i="15" s="1"/>
  <c r="I2" i="17" s="1"/>
  <c r="AK41" i="15" a="1"/>
  <c r="AK41" i="15" s="1"/>
  <c r="AD2" i="17" s="1"/>
  <c r="U41" i="15" a="1"/>
  <c r="U41" i="15" s="1"/>
  <c r="N2" i="17" s="1"/>
  <c r="AU41" i="15" a="1"/>
  <c r="AU41" i="15" s="1"/>
  <c r="AN2" i="17" s="1"/>
  <c r="I41" i="15" a="1"/>
  <c r="I41" i="15" s="1"/>
  <c r="B2" i="17" s="1"/>
  <c r="Q41" i="15" a="1"/>
  <c r="Q41" i="15" s="1"/>
  <c r="J2" i="17" s="1"/>
  <c r="W72" i="15" a="1"/>
  <c r="W72" i="15" s="1"/>
  <c r="P2" i="18" s="1"/>
  <c r="AM72" i="15" a="1"/>
  <c r="AM72" i="15" s="1"/>
  <c r="AF2" i="18" s="1"/>
  <c r="K72" i="15" a="1"/>
  <c r="K72" i="15" s="1"/>
  <c r="D2" i="18" s="1"/>
  <c r="S72" i="15" a="1"/>
  <c r="S72" i="15" s="1"/>
  <c r="L2" i="18" s="1"/>
  <c r="AH72" i="15" a="1"/>
  <c r="AH72" i="15" s="1"/>
  <c r="AA2" i="18" s="1"/>
  <c r="AQ72" i="15" a="1"/>
  <c r="AQ72" i="15" s="1"/>
  <c r="AJ2" i="18" s="1"/>
  <c r="AT72" i="15" a="1"/>
  <c r="AT72" i="15" s="1"/>
  <c r="AM2" i="18" s="1"/>
  <c r="T72" i="15" a="1"/>
  <c r="T72" i="15" s="1"/>
  <c r="M2" i="18" s="1"/>
  <c r="R72" i="15" a="1"/>
  <c r="R72" i="15" s="1"/>
  <c r="K2" i="18" s="1"/>
  <c r="X72" i="15" a="1"/>
  <c r="X72" i="15" s="1"/>
  <c r="Q2" i="18" s="1"/>
  <c r="AB72" i="15" a="1"/>
  <c r="AB72" i="15" s="1"/>
  <c r="U2" i="18" s="1"/>
  <c r="AR72" i="15" a="1"/>
  <c r="AR72" i="15" s="1"/>
  <c r="AK2" i="18" s="1"/>
  <c r="M72" i="15" a="1"/>
  <c r="M72" i="15" s="1"/>
  <c r="F2" i="18" s="1"/>
  <c r="U72" i="15" a="1"/>
  <c r="U72" i="15" s="1"/>
  <c r="N2" i="18" s="1"/>
  <c r="AK72" i="15" a="1"/>
  <c r="AK72" i="15" s="1"/>
  <c r="AD2" i="18" s="1"/>
  <c r="AF72" i="15" a="1"/>
  <c r="AF72" i="15" s="1"/>
  <c r="Y2" i="18" s="1"/>
  <c r="AO72" i="15" a="1"/>
  <c r="AO72" i="15" s="1"/>
  <c r="AH2" i="18" s="1"/>
  <c r="P72" i="15" a="1"/>
  <c r="P72" i="15" s="1"/>
  <c r="I2" i="18" s="1"/>
  <c r="AV72" i="15" a="1"/>
  <c r="AV72" i="15" s="1"/>
  <c r="AO2" i="18" s="1"/>
  <c r="AN72" i="15" a="1"/>
  <c r="AN72" i="15" s="1"/>
  <c r="AG2" i="18" s="1"/>
  <c r="J72" i="15" a="1"/>
  <c r="J72" i="15" s="1"/>
  <c r="C2" i="18" s="1"/>
  <c r="AE72" i="15" a="1"/>
  <c r="AE72" i="15" s="1"/>
  <c r="X2" i="18" s="1"/>
  <c r="AU72" i="15" a="1"/>
  <c r="AU72" i="15" s="1"/>
  <c r="AN2" i="18" s="1"/>
  <c r="O72" i="15" a="1"/>
  <c r="O72" i="15" s="1"/>
  <c r="H2" i="18" s="1"/>
  <c r="Z72" i="15" a="1"/>
  <c r="Z72" i="15" s="1"/>
  <c r="S2" i="18" s="1"/>
  <c r="AP72" i="15" a="1"/>
  <c r="AP72" i="15" s="1"/>
  <c r="AI2" i="18" s="1"/>
  <c r="AA72" i="15" a="1"/>
  <c r="AA72" i="15" s="1"/>
  <c r="T2" i="18" s="1"/>
  <c r="AD72" i="15" a="1"/>
  <c r="AD72" i="15" s="1"/>
  <c r="W2" i="18" s="1"/>
  <c r="L72" i="15" a="1"/>
  <c r="L72" i="15" s="1"/>
  <c r="E2" i="18" s="1"/>
  <c r="V72" i="15" a="1"/>
  <c r="V72" i="15" s="1"/>
  <c r="O2" i="18" s="1"/>
  <c r="J87" i="15"/>
  <c r="I87" i="15"/>
  <c r="J91" i="15"/>
  <c r="I91" i="15"/>
  <c r="A83" i="15"/>
  <c r="A84" i="15" s="1"/>
  <c r="A85" i="15" s="1"/>
  <c r="A86" i="15" s="1"/>
  <c r="J86" i="15" s="1"/>
  <c r="I82" i="15"/>
  <c r="Q13" i="15"/>
  <c r="I59" i="15"/>
  <c r="A60" i="15"/>
  <c r="A61" i="15" s="1"/>
  <c r="A62" i="15" s="1"/>
  <c r="A63" i="15" s="1"/>
  <c r="I14" i="15"/>
  <c r="K14" i="15"/>
  <c r="J13" i="15"/>
  <c r="I13" i="15"/>
  <c r="I21" i="15"/>
  <c r="J22" i="15"/>
  <c r="O42" i="15" l="1" a="1"/>
  <c r="O42" i="15" s="1"/>
  <c r="H3" i="17" s="1"/>
  <c r="I83" i="15"/>
  <c r="T76" i="15"/>
  <c r="R76" i="15" s="1"/>
  <c r="S76" i="15"/>
  <c r="C40" i="15"/>
  <c r="C104" i="15" s="1"/>
  <c r="AG42" i="15" a="1"/>
  <c r="AG42" i="15" s="1"/>
  <c r="Z3" i="17" s="1"/>
  <c r="K42" i="15" a="1"/>
  <c r="K42" i="15" s="1"/>
  <c r="D3" i="17" s="1"/>
  <c r="AE42" i="15" a="1"/>
  <c r="AE42" i="15" s="1"/>
  <c r="X3" i="17" s="1"/>
  <c r="AQ42" i="15" a="1"/>
  <c r="AQ42" i="15" s="1"/>
  <c r="AJ3" i="17" s="1"/>
  <c r="F41" i="15"/>
  <c r="R44" i="15"/>
  <c r="V44" i="15" s="1"/>
  <c r="Z44" i="15" s="1"/>
  <c r="S45" i="15"/>
  <c r="T45" i="15"/>
  <c r="X42" i="15" a="1"/>
  <c r="X42" i="15" s="1"/>
  <c r="Q3" i="17" s="1"/>
  <c r="AF42" i="15" a="1"/>
  <c r="AF42" i="15" s="1"/>
  <c r="Y3" i="17" s="1"/>
  <c r="P42" i="15" a="1"/>
  <c r="P42" i="15" s="1"/>
  <c r="I3" i="17" s="1"/>
  <c r="AS42" i="15" a="1"/>
  <c r="AS42" i="15" s="1"/>
  <c r="AL3" i="17" s="1"/>
  <c r="AJ42" i="15" a="1"/>
  <c r="AJ42" i="15" s="1"/>
  <c r="AC3" i="17" s="1"/>
  <c r="Z42" i="15" a="1"/>
  <c r="Z42" i="15" s="1"/>
  <c r="S3" i="17" s="1"/>
  <c r="F72" i="15"/>
  <c r="C71" i="15"/>
  <c r="E104" i="15" s="1"/>
  <c r="AL42" i="15" a="1"/>
  <c r="AL42" i="15" s="1"/>
  <c r="AE3" i="17" s="1"/>
  <c r="AK42" i="15" a="1"/>
  <c r="AK42" i="15" s="1"/>
  <c r="AD3" i="17" s="1"/>
  <c r="M42" i="15" a="1"/>
  <c r="M42" i="15" s="1"/>
  <c r="F3" i="17" s="1"/>
  <c r="W42" i="15" a="1"/>
  <c r="W42" i="15" s="1"/>
  <c r="P3" i="17" s="1"/>
  <c r="N42" i="15" a="1"/>
  <c r="N42" i="15" s="1"/>
  <c r="G3" i="17" s="1"/>
  <c r="Y42" i="15" a="1"/>
  <c r="Y42" i="15" s="1"/>
  <c r="R3" i="17" s="1"/>
  <c r="AM42" i="15" a="1"/>
  <c r="AM42" i="15" s="1"/>
  <c r="AF3" i="17" s="1"/>
  <c r="R42" i="15" a="1"/>
  <c r="R42" i="15" s="1"/>
  <c r="K3" i="17" s="1"/>
  <c r="L42" i="15" a="1"/>
  <c r="L42" i="15" s="1"/>
  <c r="E3" i="17" s="1"/>
  <c r="V42" i="15" a="1"/>
  <c r="V42" i="15" s="1"/>
  <c r="O3" i="17" s="1"/>
  <c r="I86" i="15"/>
  <c r="A87" i="15"/>
  <c r="A88" i="15" s="1"/>
  <c r="A89" i="15" s="1"/>
  <c r="A90" i="15" s="1"/>
  <c r="J90" i="15" s="1"/>
  <c r="AB42" i="15" a="1"/>
  <c r="AB42" i="15" s="1"/>
  <c r="U3" i="17" s="1"/>
  <c r="AA42" i="15" a="1"/>
  <c r="AA42" i="15" s="1"/>
  <c r="T3" i="17" s="1"/>
  <c r="AT42" i="15" a="1"/>
  <c r="AT42" i="15" s="1"/>
  <c r="AM3" i="17" s="1"/>
  <c r="I42" i="15" a="1"/>
  <c r="I42" i="15" s="1"/>
  <c r="B3" i="17" s="1"/>
  <c r="AV42" i="15" a="1"/>
  <c r="AV42" i="15" s="1"/>
  <c r="AO3" i="17" s="1"/>
  <c r="U42" i="15" a="1"/>
  <c r="U42" i="15" s="1"/>
  <c r="N3" i="17" s="1"/>
  <c r="AI42" i="15" a="1"/>
  <c r="AI42" i="15" s="1"/>
  <c r="AB3" i="17" s="1"/>
  <c r="J42" i="15" a="1"/>
  <c r="J42" i="15" s="1"/>
  <c r="C3" i="17" s="1"/>
  <c r="AH42" i="15" a="1"/>
  <c r="AH42" i="15" s="1"/>
  <c r="AA3" i="17" s="1"/>
  <c r="S42" i="15" a="1"/>
  <c r="S42" i="15" s="1"/>
  <c r="L3" i="17" s="1"/>
  <c r="Z75" i="15"/>
  <c r="Q42" i="15" a="1"/>
  <c r="Q42" i="15" s="1"/>
  <c r="J3" i="17" s="1"/>
  <c r="AN42" i="15" a="1"/>
  <c r="AN42" i="15" s="1"/>
  <c r="AG3" i="17" s="1"/>
  <c r="AP42" i="15" a="1"/>
  <c r="AP42" i="15" s="1"/>
  <c r="AI3" i="17" s="1"/>
  <c r="AO42" i="15" a="1"/>
  <c r="AO42" i="15" s="1"/>
  <c r="AH3" i="17" s="1"/>
  <c r="AR42" i="15" a="1"/>
  <c r="AR42" i="15" s="1"/>
  <c r="AK3" i="17" s="1"/>
  <c r="AU42" i="15" a="1"/>
  <c r="AU42" i="15" s="1"/>
  <c r="AN3" i="17" s="1"/>
  <c r="AC42" i="15" a="1"/>
  <c r="AC42" i="15" s="1"/>
  <c r="V3" i="17" s="1"/>
  <c r="T42" i="15" a="1"/>
  <c r="T42" i="15" s="1"/>
  <c r="M3" i="17" s="1"/>
  <c r="AD42" i="15" a="1"/>
  <c r="AD42" i="15" s="1"/>
  <c r="W3" i="17" s="1"/>
  <c r="J21" i="15"/>
  <c r="A34" i="15" a="1"/>
  <c r="T77" i="15" l="1"/>
  <c r="R77" i="15" s="1"/>
  <c r="S77" i="15"/>
  <c r="R45" i="15"/>
  <c r="T46" i="15"/>
  <c r="S46" i="15"/>
  <c r="A91" i="15"/>
  <c r="A92" i="15" s="1"/>
  <c r="A93" i="15" s="1"/>
  <c r="A94" i="15" s="1"/>
  <c r="I90" i="15"/>
  <c r="W73" i="15" s="1" a="1"/>
  <c r="W73" i="15" s="1"/>
  <c r="A34" i="15"/>
  <c r="B33" i="15"/>
  <c r="T78" i="15" l="1"/>
  <c r="R78" i="15" s="1"/>
  <c r="AT73" i="15" a="1"/>
  <c r="AT73" i="15" s="1"/>
  <c r="AT71" i="15" s="1"/>
  <c r="AM5" i="18" s="1"/>
  <c r="S78" i="15"/>
  <c r="W71" i="15"/>
  <c r="P5" i="18" s="1"/>
  <c r="P3" i="18"/>
  <c r="R46" i="15"/>
  <c r="T47" i="15"/>
  <c r="S47" i="15"/>
  <c r="K73" i="15" a="1"/>
  <c r="K73" i="15" s="1"/>
  <c r="D3" i="18" s="1"/>
  <c r="AP73" i="15" a="1"/>
  <c r="AP73" i="15" s="1"/>
  <c r="AR73" i="15" a="1"/>
  <c r="AR73" i="15" s="1"/>
  <c r="I73" i="15" a="1"/>
  <c r="I73" i="15" s="1"/>
  <c r="B3" i="18" s="1"/>
  <c r="T79" i="15"/>
  <c r="R79" i="15" s="1"/>
  <c r="S73" i="15" a="1"/>
  <c r="S73" i="15" s="1"/>
  <c r="R73" i="15" a="1"/>
  <c r="R73" i="15" s="1"/>
  <c r="Y73" i="15" a="1"/>
  <c r="Y73" i="15" s="1"/>
  <c r="X73" i="15" a="1"/>
  <c r="X73" i="15" s="1"/>
  <c r="U73" i="15" a="1"/>
  <c r="U73" i="15" s="1"/>
  <c r="AM73" i="15" a="1"/>
  <c r="AM73" i="15" s="1"/>
  <c r="AO73" i="15" a="1"/>
  <c r="AO73" i="15" s="1"/>
  <c r="AI73" i="15" a="1"/>
  <c r="AI73" i="15" s="1"/>
  <c r="Z73" i="15" a="1"/>
  <c r="Z73" i="15" s="1"/>
  <c r="M73" i="15" a="1"/>
  <c r="M73" i="15" s="1"/>
  <c r="F3" i="18" s="1"/>
  <c r="AD73" i="15" a="1"/>
  <c r="AD73" i="15" s="1"/>
  <c r="AN73" i="15" a="1"/>
  <c r="AN73" i="15" s="1"/>
  <c r="AL73" i="15" a="1"/>
  <c r="AL73" i="15" s="1"/>
  <c r="AB73" i="15" a="1"/>
  <c r="AB73" i="15" s="1"/>
  <c r="AV73" i="15" a="1"/>
  <c r="AV73" i="15" s="1"/>
  <c r="AF73" i="15" a="1"/>
  <c r="AF73" i="15" s="1"/>
  <c r="J73" i="15" a="1"/>
  <c r="J73" i="15" s="1"/>
  <c r="C3" i="18" s="1"/>
  <c r="Q73" i="15" a="1"/>
  <c r="Q73" i="15" s="1"/>
  <c r="O73" i="15" a="1"/>
  <c r="O73" i="15" s="1"/>
  <c r="H3" i="18" s="1"/>
  <c r="AK73" i="15" a="1"/>
  <c r="AK73" i="15" s="1"/>
  <c r="AC73" i="15" a="1"/>
  <c r="AC73" i="15" s="1"/>
  <c r="V73" i="15" a="1"/>
  <c r="V73" i="15" s="1"/>
  <c r="T73" i="15" a="1"/>
  <c r="T73" i="15" s="1"/>
  <c r="AG73" i="15" a="1"/>
  <c r="AG73" i="15" s="1"/>
  <c r="AQ73" i="15" a="1"/>
  <c r="AQ73" i="15" s="1"/>
  <c r="L73" i="15" a="1"/>
  <c r="L73" i="15" s="1"/>
  <c r="E3" i="18" s="1"/>
  <c r="AH73" i="15" a="1"/>
  <c r="AH73" i="15" s="1"/>
  <c r="N73" i="15" a="1"/>
  <c r="N73" i="15" s="1"/>
  <c r="G3" i="18" s="1"/>
  <c r="AE73" i="15" a="1"/>
  <c r="AE73" i="15" s="1"/>
  <c r="AA73" i="15" a="1"/>
  <c r="AA73" i="15" s="1"/>
  <c r="AJ73" i="15" a="1"/>
  <c r="AJ73" i="15" s="1"/>
  <c r="P73" i="15" a="1"/>
  <c r="P73" i="15" s="1"/>
  <c r="AU73" i="15" a="1"/>
  <c r="AU73" i="15" s="1"/>
  <c r="AS73" i="15" a="1"/>
  <c r="AS73" i="15" s="1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N24" i="15"/>
  <c r="N25" i="15"/>
  <c r="N26" i="15"/>
  <c r="N27" i="15"/>
  <c r="N28" i="15"/>
  <c r="N29" i="15"/>
  <c r="N30" i="15"/>
  <c r="N31" i="15"/>
  <c r="N32" i="15"/>
  <c r="N15" i="15"/>
  <c r="N16" i="15"/>
  <c r="N17" i="15"/>
  <c r="N18" i="15"/>
  <c r="N19" i="15"/>
  <c r="N20" i="15"/>
  <c r="N21" i="15"/>
  <c r="N22" i="15"/>
  <c r="N23" i="15"/>
  <c r="S79" i="15" l="1"/>
  <c r="S80" i="15" s="1"/>
  <c r="AM3" i="18"/>
  <c r="A106" i="15"/>
  <c r="G106" i="15" s="1"/>
  <c r="AJ71" i="15"/>
  <c r="AC5" i="18" s="1"/>
  <c r="AC3" i="18"/>
  <c r="M3" i="18"/>
  <c r="AV71" i="15"/>
  <c r="AO5" i="18" s="1"/>
  <c r="AO3" i="18"/>
  <c r="AO71" i="15"/>
  <c r="AH5" i="18" s="1"/>
  <c r="AH3" i="18"/>
  <c r="J3" i="18"/>
  <c r="K3" i="18"/>
  <c r="AU71" i="15"/>
  <c r="AN5" i="18" s="1"/>
  <c r="AN3" i="18"/>
  <c r="AE71" i="15"/>
  <c r="X5" i="18" s="1"/>
  <c r="X3" i="18"/>
  <c r="AQ71" i="15"/>
  <c r="AJ5" i="18" s="1"/>
  <c r="AJ3" i="18"/>
  <c r="AC71" i="15"/>
  <c r="V5" i="18" s="1"/>
  <c r="V3" i="18"/>
  <c r="AL71" i="15"/>
  <c r="AE5" i="18" s="1"/>
  <c r="AE3" i="18"/>
  <c r="Z71" i="15"/>
  <c r="S5" i="18" s="1"/>
  <c r="S3" i="18"/>
  <c r="N3" i="18"/>
  <c r="L3" i="18"/>
  <c r="AR71" i="15"/>
  <c r="AK5" i="18" s="1"/>
  <c r="AK3" i="18"/>
  <c r="AH71" i="15"/>
  <c r="AA5" i="18" s="1"/>
  <c r="AA3" i="18"/>
  <c r="AD71" i="15"/>
  <c r="W5" i="18" s="1"/>
  <c r="W3" i="18"/>
  <c r="Y71" i="15"/>
  <c r="R5" i="18" s="1"/>
  <c r="R3" i="18"/>
  <c r="AA71" i="15"/>
  <c r="T5" i="18" s="1"/>
  <c r="T3" i="18"/>
  <c r="V71" i="15"/>
  <c r="O5" i="18" s="1"/>
  <c r="O3" i="18"/>
  <c r="AB71" i="15"/>
  <c r="U5" i="18" s="1"/>
  <c r="U3" i="18"/>
  <c r="AM71" i="15"/>
  <c r="AF5" i="18" s="1"/>
  <c r="AF3" i="18"/>
  <c r="AS71" i="15"/>
  <c r="AL5" i="18" s="1"/>
  <c r="AL3" i="18"/>
  <c r="I3" i="18"/>
  <c r="AG71" i="15"/>
  <c r="Z5" i="18" s="1"/>
  <c r="Z3" i="18"/>
  <c r="AK71" i="15"/>
  <c r="AD5" i="18" s="1"/>
  <c r="AD3" i="18"/>
  <c r="AF71" i="15"/>
  <c r="Y5" i="18" s="1"/>
  <c r="Y3" i="18"/>
  <c r="AN71" i="15"/>
  <c r="AG5" i="18" s="1"/>
  <c r="AG3" i="18"/>
  <c r="AI71" i="15"/>
  <c r="AB5" i="18" s="1"/>
  <c r="AB3" i="18"/>
  <c r="X71" i="15"/>
  <c r="Q5" i="18" s="1"/>
  <c r="Q3" i="18"/>
  <c r="AP71" i="15"/>
  <c r="AI5" i="18" s="1"/>
  <c r="AI3" i="18"/>
  <c r="T48" i="15"/>
  <c r="R47" i="15"/>
  <c r="S48" i="15"/>
  <c r="T80" i="15"/>
  <c r="R80" i="15" s="1"/>
  <c r="J10" i="15" a="1"/>
  <c r="J10" i="15" s="1"/>
  <c r="C2" i="16" s="1"/>
  <c r="L10" i="15" a="1"/>
  <c r="L10" i="15" s="1"/>
  <c r="E2" i="16" s="1"/>
  <c r="AO10" i="15" a="1"/>
  <c r="AO10" i="15" s="1"/>
  <c r="AH2" i="16" s="1"/>
  <c r="Y10" i="15" a="1"/>
  <c r="Y10" i="15" s="1"/>
  <c r="R2" i="16" s="1"/>
  <c r="AR10" i="15" a="1"/>
  <c r="AR10" i="15" s="1"/>
  <c r="AK2" i="16" s="1"/>
  <c r="AV10" i="15" a="1"/>
  <c r="AV10" i="15" s="1"/>
  <c r="AO2" i="16" s="1"/>
  <c r="AF10" i="15" a="1"/>
  <c r="AF10" i="15" s="1"/>
  <c r="Y2" i="16" s="1"/>
  <c r="P10" i="15" a="1"/>
  <c r="P10" i="15" s="1"/>
  <c r="I2" i="16" s="1"/>
  <c r="W10" i="15" a="1"/>
  <c r="W10" i="15" s="1"/>
  <c r="P2" i="16" s="1"/>
  <c r="AH10" i="15" a="1"/>
  <c r="AH10" i="15" s="1"/>
  <c r="AA2" i="16" s="1"/>
  <c r="R10" i="15" a="1"/>
  <c r="R10" i="15" s="1"/>
  <c r="K2" i="16" s="1"/>
  <c r="AA10" i="15" a="1"/>
  <c r="AA10" i="15" s="1"/>
  <c r="T2" i="16" s="1"/>
  <c r="K10" i="15" a="1"/>
  <c r="K10" i="15" s="1"/>
  <c r="D2" i="16" s="1"/>
  <c r="AC10" i="15" a="1"/>
  <c r="AC10" i="15" s="1"/>
  <c r="V2" i="16" s="1"/>
  <c r="AB10" i="15" a="1"/>
  <c r="AB10" i="15" s="1"/>
  <c r="U2" i="16" s="1"/>
  <c r="Q10" i="15" a="1"/>
  <c r="Q10" i="15" s="1"/>
  <c r="J2" i="16" s="1"/>
  <c r="T10" i="15" a="1"/>
  <c r="T10" i="15" s="1"/>
  <c r="M2" i="16" s="1"/>
  <c r="AN10" i="15" a="1"/>
  <c r="AN10" i="15" s="1"/>
  <c r="AG2" i="16" s="1"/>
  <c r="X10" i="15" a="1"/>
  <c r="X10" i="15" s="1"/>
  <c r="Q2" i="16" s="1"/>
  <c r="AU10" i="15" a="1"/>
  <c r="AU10" i="15" s="1"/>
  <c r="AN2" i="16" s="1"/>
  <c r="AP10" i="15" a="1"/>
  <c r="AP10" i="15" s="1"/>
  <c r="AI2" i="16" s="1"/>
  <c r="Z10" i="15" a="1"/>
  <c r="Z10" i="15" s="1"/>
  <c r="S2" i="16" s="1"/>
  <c r="O10" i="15" a="1"/>
  <c r="O10" i="15" s="1"/>
  <c r="H2" i="16" s="1"/>
  <c r="AD10" i="15" a="1"/>
  <c r="AD10" i="15" s="1"/>
  <c r="W2" i="16" s="1"/>
  <c r="N10" i="15" a="1"/>
  <c r="N10" i="15" s="1"/>
  <c r="G2" i="16" s="1"/>
  <c r="AI10" i="15" a="1"/>
  <c r="AI10" i="15" s="1"/>
  <c r="AB2" i="16" s="1"/>
  <c r="S10" i="15" a="1"/>
  <c r="S10" i="15" s="1"/>
  <c r="L2" i="16" s="1"/>
  <c r="AK10" i="15" a="1"/>
  <c r="AK10" i="15" s="1"/>
  <c r="AD2" i="16" s="1"/>
  <c r="U10" i="15" a="1"/>
  <c r="U10" i="15" s="1"/>
  <c r="N2" i="16" s="1"/>
  <c r="AM10" i="15" a="1"/>
  <c r="AM10" i="15" s="1"/>
  <c r="AF2" i="16" s="1"/>
  <c r="AL10" i="15" a="1"/>
  <c r="AL10" i="15" s="1"/>
  <c r="AE2" i="16" s="1"/>
  <c r="V10" i="15" a="1"/>
  <c r="V10" i="15" s="1"/>
  <c r="O2" i="16" s="1"/>
  <c r="AE10" i="15" a="1"/>
  <c r="AE10" i="15" s="1"/>
  <c r="X2" i="16" s="1"/>
  <c r="AQ10" i="15" a="1"/>
  <c r="AQ10" i="15" s="1"/>
  <c r="AJ2" i="16" s="1"/>
  <c r="AS10" i="15" a="1"/>
  <c r="AS10" i="15" s="1"/>
  <c r="AL2" i="16" s="1"/>
  <c r="M10" i="15" a="1"/>
  <c r="M10" i="15" s="1"/>
  <c r="F2" i="16" s="1"/>
  <c r="I10" i="15" a="1"/>
  <c r="I10" i="15" s="1"/>
  <c r="AG10" i="15" a="1"/>
  <c r="AG10" i="15" s="1"/>
  <c r="Z2" i="16" s="1"/>
  <c r="AT10" i="15" a="1"/>
  <c r="AT10" i="15" s="1"/>
  <c r="AM2" i="16" s="1"/>
  <c r="AJ10" i="15" a="1"/>
  <c r="AJ10" i="15" s="1"/>
  <c r="AC2" i="16" s="1"/>
  <c r="R48" i="15" l="1"/>
  <c r="T49" i="15"/>
  <c r="S49" i="15"/>
  <c r="T81" i="15"/>
  <c r="R81" i="15" s="1"/>
  <c r="S81" i="15"/>
  <c r="B2" i="16"/>
  <c r="C9" i="15"/>
  <c r="T50" i="15" l="1"/>
  <c r="R49" i="15"/>
  <c r="S50" i="15"/>
  <c r="T82" i="15"/>
  <c r="R82" i="15" s="1"/>
  <c r="S82" i="15"/>
  <c r="J25" i="15"/>
  <c r="K25" i="15"/>
  <c r="K21" i="15"/>
  <c r="K17" i="15"/>
  <c r="K32" i="15"/>
  <c r="J32" i="15"/>
  <c r="K28" i="15"/>
  <c r="J28" i="15"/>
  <c r="K24" i="15"/>
  <c r="K20" i="15"/>
  <c r="K16" i="15"/>
  <c r="J31" i="15"/>
  <c r="K31" i="15"/>
  <c r="I31" i="15"/>
  <c r="K27" i="15"/>
  <c r="K23" i="15"/>
  <c r="K19" i="15"/>
  <c r="K29" i="15"/>
  <c r="I30" i="15"/>
  <c r="J30" i="15"/>
  <c r="K30" i="15"/>
  <c r="J26" i="15"/>
  <c r="K26" i="15"/>
  <c r="K22" i="15"/>
  <c r="K18" i="15"/>
  <c r="R50" i="15" l="1"/>
  <c r="T51" i="15"/>
  <c r="S51" i="15"/>
  <c r="T83" i="15"/>
  <c r="R83" i="15" s="1"/>
  <c r="S83" i="15"/>
  <c r="T52" i="15" l="1"/>
  <c r="R51" i="15"/>
  <c r="S52" i="15"/>
  <c r="T84" i="15"/>
  <c r="R84" i="15" s="1"/>
  <c r="S84" i="15"/>
  <c r="E33" i="15"/>
  <c r="AA27" i="16" s="1"/>
  <c r="AA28" i="16" s="1"/>
  <c r="T53" i="15" l="1"/>
  <c r="R52" i="15"/>
  <c r="S53" i="15"/>
  <c r="T85" i="15"/>
  <c r="R85" i="15" s="1"/>
  <c r="S85" i="15"/>
  <c r="V84" i="15"/>
  <c r="F33" i="15"/>
  <c r="H18" i="14" s="1"/>
  <c r="D33" i="15"/>
  <c r="C33" i="15"/>
  <c r="Q32" i="15"/>
  <c r="Q31" i="15"/>
  <c r="Q30" i="15"/>
  <c r="Q29" i="15"/>
  <c r="Q28" i="15"/>
  <c r="Q27" i="15"/>
  <c r="Q26" i="15"/>
  <c r="Q25" i="15"/>
  <c r="Q24" i="15"/>
  <c r="Q23" i="15"/>
  <c r="Q22" i="15"/>
  <c r="Q21" i="15"/>
  <c r="Q20" i="15"/>
  <c r="Q19" i="15"/>
  <c r="Q18" i="15"/>
  <c r="Q17" i="15"/>
  <c r="Q16" i="15"/>
  <c r="Q15" i="15"/>
  <c r="V27" i="16" l="1"/>
  <c r="V28" i="16" s="1"/>
  <c r="D10" i="15"/>
  <c r="H15" i="14" s="1"/>
  <c r="T54" i="15"/>
  <c r="S54" i="15"/>
  <c r="R53" i="15"/>
  <c r="T86" i="15"/>
  <c r="S86" i="15"/>
  <c r="Z84" i="15"/>
  <c r="V85" i="15"/>
  <c r="A15" i="15"/>
  <c r="G33" i="15"/>
  <c r="F10" i="15" l="1"/>
  <c r="Q12" i="15"/>
  <c r="T13" i="15" s="1"/>
  <c r="S14" i="15" s="1"/>
  <c r="Q33" i="15"/>
  <c r="S55" i="15"/>
  <c r="T55" i="15"/>
  <c r="R54" i="15"/>
  <c r="T87" i="15"/>
  <c r="R87" i="15" s="1"/>
  <c r="S87" i="15"/>
  <c r="R86" i="15"/>
  <c r="Z85" i="15"/>
  <c r="I15" i="15"/>
  <c r="J15" i="15"/>
  <c r="K15" i="15"/>
  <c r="A16" i="15"/>
  <c r="A104" i="15"/>
  <c r="G104" i="15" s="1"/>
  <c r="H10" i="14" l="1"/>
  <c r="H11" i="14"/>
  <c r="H12" i="14"/>
  <c r="H9" i="14"/>
  <c r="I16" i="15"/>
  <c r="J16" i="15"/>
  <c r="T56" i="15"/>
  <c r="S56" i="15"/>
  <c r="R55" i="15"/>
  <c r="T88" i="15"/>
  <c r="R88" i="15" s="1"/>
  <c r="S88" i="15"/>
  <c r="V87" i="15"/>
  <c r="R13" i="15"/>
  <c r="V13" i="15" s="1"/>
  <c r="T14" i="15"/>
  <c r="R14" i="15" s="1"/>
  <c r="A17" i="15"/>
  <c r="J17" i="15" s="1"/>
  <c r="T57" i="15" l="1"/>
  <c r="S57" i="15"/>
  <c r="R56" i="15"/>
  <c r="V56" i="15" s="1"/>
  <c r="Z56" i="15" s="1"/>
  <c r="T89" i="15"/>
  <c r="R89" i="15" s="1"/>
  <c r="S89" i="15"/>
  <c r="Z87" i="15"/>
  <c r="S15" i="15"/>
  <c r="T15" i="15"/>
  <c r="T16" i="15" s="1"/>
  <c r="T17" i="15" s="1"/>
  <c r="T18" i="15" s="1"/>
  <c r="T19" i="15" s="1"/>
  <c r="T20" i="15" s="1"/>
  <c r="T21" i="15" s="1"/>
  <c r="T22" i="15" s="1"/>
  <c r="T23" i="15" s="1"/>
  <c r="T24" i="15" s="1"/>
  <c r="T25" i="15" s="1"/>
  <c r="T26" i="15" s="1"/>
  <c r="T27" i="15" s="1"/>
  <c r="T28" i="15" s="1"/>
  <c r="T29" i="15" s="1"/>
  <c r="T30" i="15" s="1"/>
  <c r="T31" i="15" s="1"/>
  <c r="T32" i="15" s="1"/>
  <c r="V88" i="15"/>
  <c r="Z13" i="15"/>
  <c r="A18" i="15"/>
  <c r="I17" i="15"/>
  <c r="I18" i="15" l="1"/>
  <c r="J18" i="15"/>
  <c r="A19" i="15"/>
  <c r="A20" i="15" s="1"/>
  <c r="R16" i="15"/>
  <c r="R15" i="15"/>
  <c r="T58" i="15"/>
  <c r="S58" i="15"/>
  <c r="R57" i="15"/>
  <c r="V57" i="15" s="1"/>
  <c r="Z57" i="15" s="1"/>
  <c r="S16" i="15"/>
  <c r="S17" i="15" s="1"/>
  <c r="T90" i="15"/>
  <c r="S90" i="15"/>
  <c r="Z88" i="15"/>
  <c r="R24" i="15"/>
  <c r="V89" i="15"/>
  <c r="I19" i="15"/>
  <c r="J19" i="15"/>
  <c r="R17" i="15"/>
  <c r="T59" i="15" l="1"/>
  <c r="S59" i="15"/>
  <c r="R58" i="15"/>
  <c r="V58" i="15" s="1"/>
  <c r="Z58" i="15" s="1"/>
  <c r="T91" i="15"/>
  <c r="S91" i="15"/>
  <c r="R90" i="15"/>
  <c r="I71" i="15"/>
  <c r="B5" i="18" s="1"/>
  <c r="Z89" i="15"/>
  <c r="S18" i="15"/>
  <c r="S19" i="15" s="1"/>
  <c r="R18" i="15"/>
  <c r="I20" i="15"/>
  <c r="J20" i="15"/>
  <c r="A21" i="15"/>
  <c r="A22" i="15" s="1"/>
  <c r="I22" i="15" s="1"/>
  <c r="S60" i="15" l="1"/>
  <c r="T60" i="15"/>
  <c r="R59" i="15"/>
  <c r="T92" i="15"/>
  <c r="S92" i="15"/>
  <c r="R91" i="15"/>
  <c r="V91" i="15" s="1"/>
  <c r="R19" i="15"/>
  <c r="S20" i="15"/>
  <c r="A23" i="15"/>
  <c r="T61" i="15" l="1"/>
  <c r="S61" i="15"/>
  <c r="R60" i="15"/>
  <c r="V60" i="15" s="1"/>
  <c r="Z60" i="15" s="1"/>
  <c r="T93" i="15"/>
  <c r="R93" i="15" s="1"/>
  <c r="S93" i="15"/>
  <c r="R92" i="15"/>
  <c r="Z91" i="15"/>
  <c r="R20" i="15"/>
  <c r="S21" i="15"/>
  <c r="I23" i="15"/>
  <c r="J23" i="15"/>
  <c r="A24" i="15"/>
  <c r="S62" i="15" l="1"/>
  <c r="T62" i="15"/>
  <c r="R61" i="15"/>
  <c r="V61" i="15" s="1"/>
  <c r="Z61" i="15" s="1"/>
  <c r="V92" i="15"/>
  <c r="T94" i="15"/>
  <c r="T95" i="15" s="1"/>
  <c r="S94" i="15"/>
  <c r="V93" i="15"/>
  <c r="R21" i="15"/>
  <c r="S22" i="15"/>
  <c r="I24" i="15"/>
  <c r="J24" i="15"/>
  <c r="A25" i="15"/>
  <c r="I25" i="15" s="1"/>
  <c r="T63" i="15" l="1"/>
  <c r="R62" i="15"/>
  <c r="S63" i="15"/>
  <c r="R94" i="15"/>
  <c r="R95" i="15" s="1" a="1"/>
  <c r="R95" i="15" s="1"/>
  <c r="Z92" i="15"/>
  <c r="Z93" i="15"/>
  <c r="V21" i="15"/>
  <c r="Z21" i="15" s="1"/>
  <c r="R22" i="15"/>
  <c r="S23" i="15"/>
  <c r="A26" i="15"/>
  <c r="I26" i="15" s="1"/>
  <c r="X74" i="15" l="1" a="1"/>
  <c r="X74" i="15" s="1"/>
  <c r="X75" i="15" s="1"/>
  <c r="X76" i="15" s="1"/>
  <c r="V76" i="15" s="1"/>
  <c r="W74" i="15" a="1"/>
  <c r="W74" i="15" s="1"/>
  <c r="V94" i="15"/>
  <c r="Z94" i="15" s="1"/>
  <c r="V62" i="15"/>
  <c r="Z62" i="15" s="1"/>
  <c r="T64" i="15"/>
  <c r="R63" i="15"/>
  <c r="W43" i="15" s="1" a="1"/>
  <c r="W43" i="15" s="1"/>
  <c r="S24" i="15"/>
  <c r="S25" i="15" s="1"/>
  <c r="R23" i="15"/>
  <c r="A27" i="15"/>
  <c r="Z76" i="15" l="1"/>
  <c r="X43" i="15" a="1"/>
  <c r="X43" i="15" s="1"/>
  <c r="V63" i="15"/>
  <c r="Z63" i="15" s="1"/>
  <c r="R64" i="15" a="1"/>
  <c r="R64" i="15" s="1"/>
  <c r="X77" i="15"/>
  <c r="V77" i="15" s="1"/>
  <c r="W75" i="15"/>
  <c r="S26" i="15"/>
  <c r="V23" i="15"/>
  <c r="Z23" i="15" s="1"/>
  <c r="I27" i="15"/>
  <c r="J27" i="15"/>
  <c r="A28" i="15"/>
  <c r="I28" i="15" s="1"/>
  <c r="W76" i="15" l="1"/>
  <c r="W77" i="15" s="1"/>
  <c r="X44" i="15"/>
  <c r="W44" i="15" s="1"/>
  <c r="X78" i="15"/>
  <c r="S27" i="15"/>
  <c r="R25" i="15"/>
  <c r="A29" i="15"/>
  <c r="X79" i="15" l="1"/>
  <c r="V79" i="15" s="1"/>
  <c r="V78" i="15"/>
  <c r="Z78" i="15" s="1"/>
  <c r="J71" i="15"/>
  <c r="C5" i="18" s="1"/>
  <c r="X45" i="15"/>
  <c r="W78" i="15"/>
  <c r="W79" i="15" s="1"/>
  <c r="X80" i="15"/>
  <c r="S28" i="15"/>
  <c r="S29" i="15" s="1"/>
  <c r="S30" i="15" s="1"/>
  <c r="S31" i="15" s="1"/>
  <c r="V25" i="15"/>
  <c r="Z25" i="15" s="1"/>
  <c r="R26" i="15"/>
  <c r="J29" i="15"/>
  <c r="I29" i="15"/>
  <c r="A30" i="15"/>
  <c r="A31" i="15" s="1"/>
  <c r="A32" i="15" s="1"/>
  <c r="I32" i="15" s="1"/>
  <c r="X81" i="15" l="1"/>
  <c r="V80" i="15"/>
  <c r="Z80" i="15" s="1"/>
  <c r="X46" i="15"/>
  <c r="V46" i="15" s="1"/>
  <c r="Z46" i="15" s="1"/>
  <c r="V45" i="15"/>
  <c r="Z45" i="15" s="1"/>
  <c r="W45" i="15"/>
  <c r="W80" i="15"/>
  <c r="BK73" i="15" a="1"/>
  <c r="BK73" i="15" s="1"/>
  <c r="BG73" i="15" a="1"/>
  <c r="BG73" i="15" s="1"/>
  <c r="BC73" i="15" a="1"/>
  <c r="BC73" i="15" s="1"/>
  <c r="BE73" i="15" a="1"/>
  <c r="BE73" i="15" s="1"/>
  <c r="BO73" i="15" a="1"/>
  <c r="BO73" i="15" s="1"/>
  <c r="BF73" i="15" a="1"/>
  <c r="BF73" i="15" s="1"/>
  <c r="BA73" i="15" a="1"/>
  <c r="BA73" i="15" s="1"/>
  <c r="BD73" i="15" a="1"/>
  <c r="BD73" i="15" s="1"/>
  <c r="BI73" i="15" a="1"/>
  <c r="BI73" i="15" s="1"/>
  <c r="BJ73" i="15" a="1"/>
  <c r="BJ73" i="15" s="1"/>
  <c r="AW73" i="15" a="1"/>
  <c r="AW73" i="15" s="1"/>
  <c r="BL73" i="15" a="1"/>
  <c r="BL73" i="15" s="1"/>
  <c r="BH73" i="15" a="1"/>
  <c r="BH73" i="15" s="1"/>
  <c r="BP73" i="15" a="1"/>
  <c r="BP73" i="15" s="1"/>
  <c r="BB73" i="15" a="1"/>
  <c r="BB73" i="15" s="1"/>
  <c r="AZ73" i="15" a="1"/>
  <c r="AZ73" i="15" s="1"/>
  <c r="BM73" i="15" a="1"/>
  <c r="BM73" i="15" s="1"/>
  <c r="BN73" i="15" a="1"/>
  <c r="BN73" i="15" s="1"/>
  <c r="AY73" i="15" a="1"/>
  <c r="AY73" i="15" s="1"/>
  <c r="AX73" i="15" a="1"/>
  <c r="AX73" i="15" s="1"/>
  <c r="BP42" i="15" a="1"/>
  <c r="BP42" i="15" s="1"/>
  <c r="AQ40" i="15"/>
  <c r="AJ5" i="17" s="1"/>
  <c r="AJ40" i="15"/>
  <c r="AC5" i="17" s="1"/>
  <c r="AG40" i="15"/>
  <c r="Z5" i="17" s="1"/>
  <c r="X40" i="15"/>
  <c r="Q5" i="17" s="1"/>
  <c r="BO42" i="15" a="1"/>
  <c r="BO42" i="15" s="1"/>
  <c r="AB40" i="15"/>
  <c r="U5" i="17" s="1"/>
  <c r="BE42" i="15" a="1"/>
  <c r="BE42" i="15" s="1"/>
  <c r="BG42" i="15" a="1"/>
  <c r="BG42" i="15" s="1"/>
  <c r="BK42" i="15" a="1"/>
  <c r="BK42" i="15" s="1"/>
  <c r="AI40" i="15"/>
  <c r="AB5" i="17" s="1"/>
  <c r="AY42" i="15" a="1"/>
  <c r="AY42" i="15" s="1"/>
  <c r="BD42" i="15" a="1"/>
  <c r="BD42" i="15" s="1"/>
  <c r="W40" i="15"/>
  <c r="P5" i="17" s="1"/>
  <c r="BJ42" i="15" a="1"/>
  <c r="BJ42" i="15" s="1"/>
  <c r="AU40" i="15"/>
  <c r="AN5" i="17" s="1"/>
  <c r="AH40" i="15"/>
  <c r="AA5" i="17" s="1"/>
  <c r="AT40" i="15"/>
  <c r="AM5" i="17" s="1"/>
  <c r="Y40" i="15"/>
  <c r="R5" i="17" s="1"/>
  <c r="BC42" i="15" a="1"/>
  <c r="BC42" i="15" s="1"/>
  <c r="AK40" i="15"/>
  <c r="AD5" i="17" s="1"/>
  <c r="AA40" i="15"/>
  <c r="T5" i="17" s="1"/>
  <c r="AF40" i="15"/>
  <c r="Y5" i="17" s="1"/>
  <c r="BA42" i="15" a="1"/>
  <c r="BA42" i="15" s="1"/>
  <c r="AV40" i="15"/>
  <c r="AO5" i="17" s="1"/>
  <c r="AD40" i="15"/>
  <c r="W5" i="17" s="1"/>
  <c r="AX42" i="15" a="1"/>
  <c r="AX42" i="15" s="1"/>
  <c r="BH42" i="15" a="1"/>
  <c r="BH42" i="15" s="1"/>
  <c r="BN42" i="15" a="1"/>
  <c r="BN42" i="15" s="1"/>
  <c r="AO40" i="15"/>
  <c r="AH5" i="17" s="1"/>
  <c r="AW42" i="15" a="1"/>
  <c r="AW42" i="15" s="1"/>
  <c r="Z40" i="15"/>
  <c r="S5" i="17" s="1"/>
  <c r="AZ42" i="15" a="1"/>
  <c r="AZ42" i="15" s="1"/>
  <c r="BM42" i="15" a="1"/>
  <c r="BM42" i="15" s="1"/>
  <c r="AE40" i="15"/>
  <c r="X5" i="17" s="1"/>
  <c r="BF42" i="15" a="1"/>
  <c r="BF42" i="15" s="1"/>
  <c r="AS40" i="15"/>
  <c r="AL5" i="17" s="1"/>
  <c r="AC40" i="15"/>
  <c r="V5" i="17" s="1"/>
  <c r="AM40" i="15"/>
  <c r="AF5" i="17" s="1"/>
  <c r="BB42" i="15" a="1"/>
  <c r="BB42" i="15" s="1"/>
  <c r="V40" i="15"/>
  <c r="O5" i="17" s="1"/>
  <c r="AL40" i="15"/>
  <c r="AE5" i="17" s="1"/>
  <c r="BL42" i="15" a="1"/>
  <c r="BL42" i="15" s="1"/>
  <c r="BI42" i="15" a="1"/>
  <c r="BI42" i="15" s="1"/>
  <c r="AN40" i="15"/>
  <c r="AG5" i="17" s="1"/>
  <c r="AR40" i="15"/>
  <c r="AK5" i="17" s="1"/>
  <c r="AP40" i="15"/>
  <c r="AI5" i="17" s="1"/>
  <c r="AD11" i="15" a="1"/>
  <c r="AD11" i="15" s="1"/>
  <c r="O11" i="15" a="1"/>
  <c r="O11" i="15" s="1"/>
  <c r="Z11" i="15" a="1"/>
  <c r="Z11" i="15" s="1"/>
  <c r="I11" i="15" a="1"/>
  <c r="I11" i="15" s="1"/>
  <c r="I9" i="15" s="1"/>
  <c r="B5" i="16" s="1"/>
  <c r="M11" i="15" a="1"/>
  <c r="M11" i="15" s="1"/>
  <c r="J11" i="15" a="1"/>
  <c r="J11" i="15" s="1"/>
  <c r="AE11" i="15" a="1"/>
  <c r="AE11" i="15" s="1"/>
  <c r="W11" i="15" a="1"/>
  <c r="W11" i="15" s="1"/>
  <c r="T11" i="15" a="1"/>
  <c r="T11" i="15" s="1"/>
  <c r="AN11" i="15" a="1"/>
  <c r="AN11" i="15" s="1"/>
  <c r="AC11" i="15" a="1"/>
  <c r="AC11" i="15" s="1"/>
  <c r="AB11" i="15" a="1"/>
  <c r="AB11" i="15" s="1"/>
  <c r="AP11" i="15" a="1"/>
  <c r="AP11" i="15" s="1"/>
  <c r="Y11" i="15" a="1"/>
  <c r="Y11" i="15" s="1"/>
  <c r="Q11" i="15" a="1"/>
  <c r="Q11" i="15" s="1"/>
  <c r="U11" i="15" a="1"/>
  <c r="U11" i="15" s="1"/>
  <c r="S11" i="15" a="1"/>
  <c r="S11" i="15" s="1"/>
  <c r="AF11" i="15" a="1"/>
  <c r="AF11" i="15" s="1"/>
  <c r="AV11" i="15" a="1"/>
  <c r="AV11" i="15" s="1"/>
  <c r="AK11" i="15" a="1"/>
  <c r="AK11" i="15" s="1"/>
  <c r="AT11" i="15" a="1"/>
  <c r="AT11" i="15" s="1"/>
  <c r="X11" i="15" a="1"/>
  <c r="X11" i="15" s="1"/>
  <c r="AU11" i="15" a="1"/>
  <c r="AU11" i="15" s="1"/>
  <c r="AI11" i="15" a="1"/>
  <c r="AI11" i="15" s="1"/>
  <c r="AO11" i="15" a="1"/>
  <c r="AO11" i="15" s="1"/>
  <c r="V11" i="15" a="1"/>
  <c r="V11" i="15" s="1"/>
  <c r="AL11" i="15" a="1"/>
  <c r="AL11" i="15" s="1"/>
  <c r="AA11" i="15" a="1"/>
  <c r="AA11" i="15" s="1"/>
  <c r="AQ11" i="15" a="1"/>
  <c r="AQ11" i="15" s="1"/>
  <c r="AG11" i="15" a="1"/>
  <c r="AG11" i="15" s="1"/>
  <c r="R11" i="15" a="1"/>
  <c r="R11" i="15" s="1"/>
  <c r="P11" i="15" a="1"/>
  <c r="P11" i="15" s="1"/>
  <c r="L11" i="15" a="1"/>
  <c r="L11" i="15" s="1"/>
  <c r="AJ11" i="15" a="1"/>
  <c r="AJ11" i="15" s="1"/>
  <c r="AM11" i="15" a="1"/>
  <c r="AM11" i="15" s="1"/>
  <c r="K11" i="15" a="1"/>
  <c r="K11" i="15" s="1"/>
  <c r="N11" i="15" a="1"/>
  <c r="N11" i="15" s="1"/>
  <c r="AH11" i="15" a="1"/>
  <c r="AH11" i="15" s="1"/>
  <c r="AS11" i="15" a="1"/>
  <c r="AS11" i="15" s="1"/>
  <c r="AR11" i="15" a="1"/>
  <c r="AR11" i="15" s="1"/>
  <c r="S32" i="15"/>
  <c r="R27" i="15"/>
  <c r="BK11" i="15" a="1"/>
  <c r="BK11" i="15" s="1"/>
  <c r="BD3" i="18" s="1"/>
  <c r="BF11" i="15" a="1"/>
  <c r="BF11" i="15" s="1"/>
  <c r="AY3" i="18" s="1"/>
  <c r="AY11" i="15" a="1"/>
  <c r="AY11" i="15" s="1"/>
  <c r="AR3" i="18" s="1"/>
  <c r="BG11" i="15" a="1"/>
  <c r="BG11" i="15" s="1"/>
  <c r="AZ3" i="18" s="1"/>
  <c r="BM11" i="15" a="1"/>
  <c r="BM11" i="15" s="1"/>
  <c r="BF3" i="18" s="1"/>
  <c r="BP11" i="15" a="1"/>
  <c r="BP11" i="15" s="1"/>
  <c r="BI3" i="18" s="1"/>
  <c r="BB11" i="15" a="1"/>
  <c r="BB11" i="15" s="1"/>
  <c r="AU3" i="18" s="1"/>
  <c r="BE11" i="15" a="1"/>
  <c r="BE11" i="15" s="1"/>
  <c r="AX3" i="18" s="1"/>
  <c r="BN11" i="15" a="1"/>
  <c r="BN11" i="15" s="1"/>
  <c r="BG3" i="18" s="1"/>
  <c r="BC11" i="15" a="1"/>
  <c r="BC11" i="15" s="1"/>
  <c r="AV3" i="18" s="1"/>
  <c r="BA11" i="15" a="1"/>
  <c r="BA11" i="15" s="1"/>
  <c r="AT3" i="18" s="1"/>
  <c r="BI11" i="15" a="1"/>
  <c r="BI11" i="15" s="1"/>
  <c r="BB3" i="18" s="1"/>
  <c r="AW11" i="15" a="1"/>
  <c r="AW11" i="15" s="1"/>
  <c r="AP3" i="18" s="1"/>
  <c r="BJ11" i="15" a="1"/>
  <c r="BJ11" i="15" s="1"/>
  <c r="BC3" i="18" s="1"/>
  <c r="BL11" i="15" a="1"/>
  <c r="BL11" i="15" s="1"/>
  <c r="BE3" i="18" s="1"/>
  <c r="AX11" i="15" a="1"/>
  <c r="AX11" i="15" s="1"/>
  <c r="AQ3" i="18" s="1"/>
  <c r="BH11" i="15" a="1"/>
  <c r="BH11" i="15" s="1"/>
  <c r="BA3" i="18" s="1"/>
  <c r="BD11" i="15" a="1"/>
  <c r="BD11" i="15" s="1"/>
  <c r="AW3" i="18" s="1"/>
  <c r="AZ11" i="15" a="1"/>
  <c r="AZ11" i="15" s="1"/>
  <c r="AS3" i="18" s="1"/>
  <c r="BO11" i="15" a="1"/>
  <c r="BO11" i="15" s="1"/>
  <c r="BH3" i="18" s="1"/>
  <c r="G7" i="14"/>
  <c r="G8" i="14"/>
  <c r="G9" i="14"/>
  <c r="G10" i="14"/>
  <c r="G11" i="14"/>
  <c r="G12" i="14"/>
  <c r="G13" i="14"/>
  <c r="G14" i="14"/>
  <c r="G17" i="14"/>
  <c r="G18" i="14"/>
  <c r="G19" i="14"/>
  <c r="G20" i="14"/>
  <c r="G26" i="14"/>
  <c r="X82" i="15" l="1"/>
  <c r="V81" i="15"/>
  <c r="W81" i="15"/>
  <c r="X47" i="15"/>
  <c r="V47" i="15" s="1"/>
  <c r="Z47" i="15" s="1"/>
  <c r="BH3" i="16"/>
  <c r="BH3" i="17"/>
  <c r="AX3" i="16"/>
  <c r="AX3" i="17"/>
  <c r="AS3" i="16"/>
  <c r="AS3" i="17"/>
  <c r="BE3" i="16"/>
  <c r="BE3" i="17"/>
  <c r="AT3" i="16"/>
  <c r="AT3" i="17"/>
  <c r="AU3" i="16"/>
  <c r="AU3" i="17"/>
  <c r="AR3" i="16"/>
  <c r="AR3" i="17"/>
  <c r="AQ3" i="16"/>
  <c r="AQ3" i="17"/>
  <c r="BB3" i="16"/>
  <c r="BB3" i="17"/>
  <c r="AZ3" i="16"/>
  <c r="AZ3" i="17"/>
  <c r="AW3" i="16"/>
  <c r="AW3" i="17"/>
  <c r="BC3" i="16"/>
  <c r="BC3" i="17"/>
  <c r="AV3" i="16"/>
  <c r="AV3" i="17"/>
  <c r="BI3" i="16"/>
  <c r="BI3" i="17"/>
  <c r="AY3" i="16"/>
  <c r="AY3" i="17"/>
  <c r="BA3" i="16"/>
  <c r="BA3" i="17"/>
  <c r="AP3" i="16"/>
  <c r="AP3" i="17"/>
  <c r="BG3" i="16"/>
  <c r="BG3" i="17"/>
  <c r="BF3" i="16"/>
  <c r="BF3" i="17"/>
  <c r="BD3" i="16"/>
  <c r="BD3" i="17"/>
  <c r="W46" i="15"/>
  <c r="X83" i="15"/>
  <c r="V83" i="15" s="1"/>
  <c r="B3" i="16"/>
  <c r="AF3" i="16"/>
  <c r="AM9" i="15"/>
  <c r="AF5" i="16" s="1"/>
  <c r="S3" i="16"/>
  <c r="AH3" i="16"/>
  <c r="AO9" i="15"/>
  <c r="AH5" i="16" s="1"/>
  <c r="AA3" i="16"/>
  <c r="AH9" i="15"/>
  <c r="AA5" i="16" s="1"/>
  <c r="V3" i="16"/>
  <c r="W3" i="16"/>
  <c r="I3" i="16"/>
  <c r="AK3" i="16"/>
  <c r="AR9" i="15"/>
  <c r="AK5" i="16" s="1"/>
  <c r="Y3" i="16"/>
  <c r="U3" i="16"/>
  <c r="G3" i="16"/>
  <c r="H3" i="16"/>
  <c r="J3" i="16"/>
  <c r="L3" i="16"/>
  <c r="P3" i="16"/>
  <c r="Z3" i="16"/>
  <c r="AG9" i="15"/>
  <c r="Z5" i="16" s="1"/>
  <c r="AB3" i="16"/>
  <c r="AI9" i="15"/>
  <c r="AB5" i="16" s="1"/>
  <c r="T3" i="16"/>
  <c r="AG3" i="16"/>
  <c r="AN9" i="15"/>
  <c r="AG5" i="16" s="1"/>
  <c r="O3" i="16"/>
  <c r="AO3" i="16"/>
  <c r="AV9" i="15"/>
  <c r="AO5" i="16" s="1"/>
  <c r="X3" i="16"/>
  <c r="N3" i="16"/>
  <c r="M3" i="16"/>
  <c r="AE3" i="16"/>
  <c r="AL9" i="15"/>
  <c r="AE5" i="16" s="1"/>
  <c r="Q3" i="16"/>
  <c r="AM3" i="16"/>
  <c r="AT9" i="15"/>
  <c r="AM5" i="16" s="1"/>
  <c r="AI3" i="16"/>
  <c r="AP9" i="15"/>
  <c r="AI5" i="16" s="1"/>
  <c r="AC3" i="16"/>
  <c r="AJ9" i="15"/>
  <c r="AC5" i="16" s="1"/>
  <c r="AJ3" i="16"/>
  <c r="AQ9" i="15"/>
  <c r="AJ5" i="16" s="1"/>
  <c r="AL3" i="16"/>
  <c r="AS9" i="15"/>
  <c r="AL5" i="16" s="1"/>
  <c r="AD3" i="16"/>
  <c r="AK9" i="15"/>
  <c r="AD5" i="16" s="1"/>
  <c r="R3" i="16"/>
  <c r="F3" i="16"/>
  <c r="AN3" i="16"/>
  <c r="AU9" i="15"/>
  <c r="AN5" i="16" s="1"/>
  <c r="C3" i="16"/>
  <c r="D3" i="16"/>
  <c r="E3" i="16"/>
  <c r="R28" i="15"/>
  <c r="K3" i="16"/>
  <c r="W82" i="15" l="1"/>
  <c r="X48" i="15"/>
  <c r="X49" i="15" s="1"/>
  <c r="W47" i="15"/>
  <c r="G27" i="14"/>
  <c r="E125" i="20" s="1"/>
  <c r="V48" i="15"/>
  <c r="Z48" i="15" s="1"/>
  <c r="X84" i="15"/>
  <c r="X85" i="15" s="1"/>
  <c r="W83" i="15"/>
  <c r="I40" i="15"/>
  <c r="B5" i="17" s="1"/>
  <c r="J40" i="15"/>
  <c r="C5" i="17" s="1"/>
  <c r="R29" i="15"/>
  <c r="W48" i="15" l="1"/>
  <c r="W49" i="15" s="1"/>
  <c r="V49" i="15"/>
  <c r="Z49" i="15" s="1"/>
  <c r="X50" i="15"/>
  <c r="X86" i="15"/>
  <c r="W84" i="15"/>
  <c r="W85" i="15" s="1"/>
  <c r="K40" i="15"/>
  <c r="D5" i="17" s="1"/>
  <c r="R30" i="15"/>
  <c r="X51" i="15" l="1"/>
  <c r="V51" i="15" s="1"/>
  <c r="V50" i="15"/>
  <c r="Z50" i="15" s="1"/>
  <c r="W86" i="15"/>
  <c r="W50" i="15"/>
  <c r="X87" i="15"/>
  <c r="V82" i="15"/>
  <c r="X9" i="15"/>
  <c r="Q5" i="16" s="1"/>
  <c r="R31" i="15"/>
  <c r="W51" i="15" l="1"/>
  <c r="X52" i="15"/>
  <c r="X53" i="15" s="1"/>
  <c r="V52" i="15"/>
  <c r="X88" i="15"/>
  <c r="X89" i="15" s="1"/>
  <c r="W87" i="15"/>
  <c r="R32" i="15"/>
  <c r="X54" i="15" l="1"/>
  <c r="V53" i="15"/>
  <c r="W52" i="15"/>
  <c r="W53" i="15" s="1"/>
  <c r="W54" i="15" s="1"/>
  <c r="X12" i="15" a="1"/>
  <c r="X12" i="15" s="1"/>
  <c r="X13" i="15" s="1"/>
  <c r="X90" i="15"/>
  <c r="W88" i="15"/>
  <c r="W89" i="15" s="1"/>
  <c r="W12" i="15" a="1"/>
  <c r="W12" i="15" s="1"/>
  <c r="R33" i="15" a="1"/>
  <c r="R33" i="15" s="1"/>
  <c r="T33" i="15"/>
  <c r="X55" i="15" l="1"/>
  <c r="X56" i="15" s="1"/>
  <c r="X57" i="15" s="1"/>
  <c r="X58" i="15" s="1"/>
  <c r="X59" i="15" s="1"/>
  <c r="X60" i="15" s="1"/>
  <c r="X61" i="15" s="1"/>
  <c r="X62" i="15" s="1"/>
  <c r="X63" i="15" s="1"/>
  <c r="V54" i="15"/>
  <c r="X91" i="15"/>
  <c r="W90" i="15"/>
  <c r="W13" i="15"/>
  <c r="X14" i="15"/>
  <c r="V22" i="15"/>
  <c r="Z22" i="15" s="1"/>
  <c r="V55" i="15" l="1"/>
  <c r="W55" i="15"/>
  <c r="W56" i="15" s="1"/>
  <c r="W57" i="15" s="1"/>
  <c r="W58" i="15" s="1"/>
  <c r="W59" i="15" s="1"/>
  <c r="W60" i="15" s="1"/>
  <c r="W61" i="15" s="1"/>
  <c r="W62" i="15" s="1"/>
  <c r="W63" i="15" s="1"/>
  <c r="W91" i="15"/>
  <c r="X15" i="15"/>
  <c r="V14" i="15"/>
  <c r="Z14" i="15" s="1"/>
  <c r="X92" i="15"/>
  <c r="X93" i="15" s="1"/>
  <c r="X94" i="15" s="1"/>
  <c r="V86" i="15"/>
  <c r="W14" i="15"/>
  <c r="V26" i="15"/>
  <c r="Z26" i="15" s="1"/>
  <c r="V27" i="15"/>
  <c r="B16" i="16"/>
  <c r="X16" i="15" l="1"/>
  <c r="X17" i="15" s="1"/>
  <c r="V15" i="15"/>
  <c r="V24" i="15"/>
  <c r="W92" i="15"/>
  <c r="W93" i="15" s="1"/>
  <c r="V28" i="15"/>
  <c r="Z27" i="15"/>
  <c r="X18" i="15" l="1"/>
  <c r="V17" i="15"/>
  <c r="W94" i="15"/>
  <c r="V30" i="15"/>
  <c r="Z30" i="15" s="1"/>
  <c r="V31" i="15"/>
  <c r="W15" i="15"/>
  <c r="X19" i="15" l="1"/>
  <c r="X20" i="15" s="1"/>
  <c r="X21" i="15" s="1"/>
  <c r="X22" i="15" s="1"/>
  <c r="X23" i="15" s="1"/>
  <c r="X24" i="15" s="1"/>
  <c r="X25" i="15" s="1"/>
  <c r="X26" i="15" s="1"/>
  <c r="X27" i="15" s="1"/>
  <c r="X28" i="15" s="1"/>
  <c r="X29" i="15" s="1"/>
  <c r="X30" i="15" s="1"/>
  <c r="X31" i="15" s="1"/>
  <c r="X32" i="15" s="1"/>
  <c r="V18" i="15"/>
  <c r="Z18" i="15" s="1"/>
  <c r="V59" i="15"/>
  <c r="V16" i="15"/>
  <c r="W16" i="15"/>
  <c r="AB43" i="15" l="1" a="1"/>
  <c r="AB43" i="15" s="1"/>
  <c r="AB44" i="15" s="1"/>
  <c r="V90" i="15"/>
  <c r="X64" i="15"/>
  <c r="W17" i="15"/>
  <c r="L71" i="15" l="1"/>
  <c r="E5" i="18" s="1"/>
  <c r="X95" i="15"/>
  <c r="AB45" i="15"/>
  <c r="W18" i="15"/>
  <c r="W19" i="15" s="1"/>
  <c r="W20" i="15" s="1"/>
  <c r="V19" i="15"/>
  <c r="V20" i="15"/>
  <c r="J9" i="15" s="1"/>
  <c r="C5" i="16" s="1"/>
  <c r="AB46" i="15" l="1"/>
  <c r="W21" i="15"/>
  <c r="AB47" i="15" l="1"/>
  <c r="W22" i="15"/>
  <c r="AB74" i="15" l="1" a="1"/>
  <c r="AB74" i="15" s="1"/>
  <c r="AB75" i="15" s="1"/>
  <c r="AA74" i="15" a="1"/>
  <c r="AA74" i="15" s="1"/>
  <c r="AB48" i="15"/>
  <c r="W23" i="15"/>
  <c r="AA75" i="15" l="1"/>
  <c r="AB76" i="15"/>
  <c r="AB49" i="15"/>
  <c r="AB50" i="15" s="1"/>
  <c r="AB51" i="15" s="1"/>
  <c r="AB52" i="15" s="1"/>
  <c r="Z52" i="15" s="1"/>
  <c r="W24" i="15"/>
  <c r="V29" i="15"/>
  <c r="AA76" i="15" l="1"/>
  <c r="AB77" i="15"/>
  <c r="Z77" i="15" s="1"/>
  <c r="AB53" i="15"/>
  <c r="W25" i="15"/>
  <c r="W26" i="15" s="1"/>
  <c r="W27" i="15" s="1"/>
  <c r="W28" i="15" s="1"/>
  <c r="Z9" i="15"/>
  <c r="S5" i="16" s="1"/>
  <c r="Y9" i="15"/>
  <c r="R5" i="16" s="1"/>
  <c r="Z29" i="15"/>
  <c r="V32" i="15"/>
  <c r="AB12" i="15" s="1" a="1"/>
  <c r="AB12" i="15" s="1"/>
  <c r="AB54" i="15" l="1"/>
  <c r="Z53" i="15"/>
  <c r="AB78" i="15"/>
  <c r="AB79" i="15" s="1"/>
  <c r="Z79" i="15" s="1"/>
  <c r="AA77" i="15"/>
  <c r="K71" i="15" s="1"/>
  <c r="D5" i="18" s="1"/>
  <c r="X33" i="15"/>
  <c r="W29" i="15"/>
  <c r="V9" i="15" s="1"/>
  <c r="O5" i="16" s="1"/>
  <c r="AA9" i="15"/>
  <c r="T5" i="16" s="1"/>
  <c r="AB55" i="15" l="1"/>
  <c r="AB56" i="15" s="1"/>
  <c r="AB57" i="15" s="1"/>
  <c r="AB58" i="15" s="1"/>
  <c r="AB59" i="15" s="1"/>
  <c r="AB60" i="15" s="1"/>
  <c r="AB61" i="15" s="1"/>
  <c r="AB62" i="15" s="1"/>
  <c r="AB63" i="15" s="1"/>
  <c r="Z54" i="15"/>
  <c r="AB80" i="15"/>
  <c r="AB81" i="15" s="1"/>
  <c r="Z81" i="15" s="1"/>
  <c r="AA78" i="15"/>
  <c r="AB13" i="15"/>
  <c r="Z31" i="15"/>
  <c r="W30" i="15"/>
  <c r="AB9" i="15"/>
  <c r="U5" i="16" s="1"/>
  <c r="AC9" i="15"/>
  <c r="V5" i="16" s="1"/>
  <c r="AA79" i="15" l="1"/>
  <c r="AB82" i="15"/>
  <c r="W9" i="15"/>
  <c r="P5" i="16" s="1"/>
  <c r="AB14" i="15"/>
  <c r="AB15" i="15" s="1"/>
  <c r="W31" i="15"/>
  <c r="W32" i="15" s="1"/>
  <c r="AA80" i="15" l="1"/>
  <c r="AA81" i="15" s="1"/>
  <c r="AA82" i="15" s="1"/>
  <c r="M71" i="15"/>
  <c r="F5" i="18" s="1"/>
  <c r="AB16" i="15"/>
  <c r="AB17" i="15" s="1"/>
  <c r="Z15" i="15"/>
  <c r="Z24" i="15"/>
  <c r="AB83" i="15"/>
  <c r="Z82" i="15"/>
  <c r="Z51" i="15"/>
  <c r="AA12" i="15" a="1"/>
  <c r="AA12" i="15" s="1"/>
  <c r="Z16" i="15"/>
  <c r="AB84" i="15" l="1"/>
  <c r="AB85" i="15" s="1"/>
  <c r="Z83" i="15"/>
  <c r="AB18" i="15"/>
  <c r="AB19" i="15" s="1"/>
  <c r="AB20" i="15" s="1"/>
  <c r="AB21" i="15" s="1"/>
  <c r="AB22" i="15" s="1"/>
  <c r="AB23" i="15" s="1"/>
  <c r="AB24" i="15" s="1"/>
  <c r="AB25" i="15" s="1"/>
  <c r="AB26" i="15" s="1"/>
  <c r="AB27" i="15" s="1"/>
  <c r="AB28" i="15" s="1"/>
  <c r="AB29" i="15" s="1"/>
  <c r="AB30" i="15" s="1"/>
  <c r="AB31" i="15" s="1"/>
  <c r="AB32" i="15" s="1"/>
  <c r="Z17" i="15"/>
  <c r="Z28" i="15"/>
  <c r="O71" i="15"/>
  <c r="H5" i="18" s="1"/>
  <c r="AA83" i="15"/>
  <c r="AA84" i="15" s="1"/>
  <c r="AA85" i="15" s="1"/>
  <c r="AB86" i="15"/>
  <c r="AA13" i="15"/>
  <c r="AA14" i="15" s="1"/>
  <c r="AA15" i="15" s="1"/>
  <c r="K9" i="15" s="1"/>
  <c r="D5" i="16" s="1"/>
  <c r="AB87" i="15" l="1"/>
  <c r="AB88" i="15" s="1"/>
  <c r="Z86" i="15"/>
  <c r="AA86" i="15"/>
  <c r="AA43" i="15" a="1"/>
  <c r="AA43" i="15" s="1"/>
  <c r="AA16" i="15"/>
  <c r="AA17" i="15" l="1"/>
  <c r="AA18" i="15" s="1"/>
  <c r="L9" i="15"/>
  <c r="E5" i="16" s="1"/>
  <c r="P71" i="15"/>
  <c r="I5" i="18" s="1"/>
  <c r="AA87" i="15"/>
  <c r="AA88" i="15" s="1"/>
  <c r="AB89" i="15"/>
  <c r="AA44" i="15"/>
  <c r="AA45" i="15" s="1"/>
  <c r="Z19" i="15"/>
  <c r="AB90" i="15" l="1"/>
  <c r="AA89" i="15"/>
  <c r="AA46" i="15"/>
  <c r="Z55" i="15"/>
  <c r="AA19" i="15"/>
  <c r="AB91" i="15" l="1"/>
  <c r="AA90" i="15"/>
  <c r="AA47" i="15"/>
  <c r="AA48" i="15" s="1"/>
  <c r="AA20" i="15"/>
  <c r="Z20" i="15"/>
  <c r="O9" i="15" l="1"/>
  <c r="H5" i="16" s="1"/>
  <c r="AB92" i="15"/>
  <c r="AB93" i="15" s="1"/>
  <c r="AA91" i="15"/>
  <c r="AA49" i="15"/>
  <c r="L40" i="15"/>
  <c r="E5" i="17" s="1"/>
  <c r="AA21" i="15"/>
  <c r="AB94" i="15" l="1"/>
  <c r="AA92" i="15"/>
  <c r="AA93" i="15" s="1"/>
  <c r="AA50" i="15"/>
  <c r="AA22" i="15"/>
  <c r="AA94" i="15" l="1"/>
  <c r="AA51" i="15"/>
  <c r="AA23" i="15"/>
  <c r="O40" i="15" l="1"/>
  <c r="H5" i="17" s="1"/>
  <c r="AA52" i="15"/>
  <c r="AA53" i="15" s="1"/>
  <c r="Z59" i="15"/>
  <c r="AA24" i="15"/>
  <c r="Q9" i="15" l="1"/>
  <c r="J5" i="16" s="1"/>
  <c r="P9" i="15"/>
  <c r="I5" i="16" s="1"/>
  <c r="S9" i="15"/>
  <c r="L5" i="16" s="1"/>
  <c r="AA54" i="15"/>
  <c r="M40" i="15"/>
  <c r="F5" i="17" s="1"/>
  <c r="AA25" i="15"/>
  <c r="Z90" i="15" l="1"/>
  <c r="AA55" i="15"/>
  <c r="P40" i="15" s="1"/>
  <c r="I5" i="17" s="1"/>
  <c r="AA26" i="15"/>
  <c r="Q71" i="15" l="1"/>
  <c r="J5" i="18" s="1"/>
  <c r="S71" i="15"/>
  <c r="L5" i="18" s="1"/>
  <c r="R71" i="15"/>
  <c r="K5" i="18" s="1"/>
  <c r="U71" i="15"/>
  <c r="N5" i="18" s="1"/>
  <c r="T71" i="15"/>
  <c r="M5" i="18" s="1"/>
  <c r="C97" i="15" a="1"/>
  <c r="C97" i="15" s="1"/>
  <c r="F98" i="15" a="1"/>
  <c r="F98" i="15" s="1"/>
  <c r="C99" i="15" a="1"/>
  <c r="C99" i="15" s="1"/>
  <c r="B96" i="15" a="1"/>
  <c r="B96" i="15" s="1"/>
  <c r="G96" i="15" a="1"/>
  <c r="G96" i="15" s="1"/>
  <c r="C98" i="15" a="1"/>
  <c r="C98" i="15" s="1"/>
  <c r="D99" i="15" a="1"/>
  <c r="D99" i="15" s="1"/>
  <c r="F96" i="15" a="1"/>
  <c r="F96" i="15" s="1"/>
  <c r="D98" i="15" a="1"/>
  <c r="D98" i="15" s="1"/>
  <c r="B98" i="15" a="1"/>
  <c r="B98" i="15" s="1"/>
  <c r="F97" i="15" a="1"/>
  <c r="F97" i="15" s="1"/>
  <c r="D96" i="15" a="1"/>
  <c r="D96" i="15" s="1"/>
  <c r="G99" i="15" a="1"/>
  <c r="G99" i="15" s="1"/>
  <c r="C96" i="15" a="1"/>
  <c r="C96" i="15" s="1"/>
  <c r="A98" i="15" s="1"/>
  <c r="B97" i="15" a="1"/>
  <c r="B97" i="15" s="1"/>
  <c r="E99" i="15" a="1"/>
  <c r="E99" i="15" s="1"/>
  <c r="B99" i="15" a="1"/>
  <c r="B99" i="15" s="1"/>
  <c r="F99" i="15" a="1"/>
  <c r="F99" i="15" s="1"/>
  <c r="E98" i="15" a="1"/>
  <c r="E98" i="15" s="1"/>
  <c r="D97" i="15" a="1"/>
  <c r="D97" i="15" s="1"/>
  <c r="G97" i="15" a="1"/>
  <c r="G97" i="15" s="1"/>
  <c r="E96" i="15" a="1"/>
  <c r="E96" i="15" s="1"/>
  <c r="E97" i="15" a="1"/>
  <c r="E97" i="15" s="1"/>
  <c r="G98" i="15" a="1"/>
  <c r="G98" i="15" s="1"/>
  <c r="Q40" i="15"/>
  <c r="J5" i="17" s="1"/>
  <c r="AA56" i="15"/>
  <c r="AA27" i="15"/>
  <c r="G27" i="18" l="1"/>
  <c r="G28" i="18" s="1"/>
  <c r="Q27" i="18"/>
  <c r="Q28" i="18" s="1"/>
  <c r="D100" i="15"/>
  <c r="U25" i="18" s="1"/>
  <c r="C110" i="15"/>
  <c r="Q96" i="15"/>
  <c r="Q97" i="15"/>
  <c r="Q98" i="15"/>
  <c r="Q99" i="15"/>
  <c r="AA57" i="15"/>
  <c r="AA28" i="15"/>
  <c r="R9" i="15" s="1"/>
  <c r="K5" i="16" s="1"/>
  <c r="E103" i="15" l="1"/>
  <c r="E102" i="15"/>
  <c r="B16" i="18" s="1"/>
  <c r="T9" i="15"/>
  <c r="M5" i="16" s="1"/>
  <c r="U9" i="15"/>
  <c r="N5" i="16" s="1"/>
  <c r="N9" i="15"/>
  <c r="G5" i="16" s="1"/>
  <c r="M9" i="15"/>
  <c r="F5" i="16" s="1"/>
  <c r="AA58" i="15"/>
  <c r="AA29" i="15"/>
  <c r="R16" i="18" l="1"/>
  <c r="J16" i="18"/>
  <c r="Z16" i="18"/>
  <c r="V16" i="18"/>
  <c r="F16" i="18"/>
  <c r="AD16" i="18"/>
  <c r="N16" i="18"/>
  <c r="AA59" i="15"/>
  <c r="AA30" i="15"/>
  <c r="U40" i="15" l="1"/>
  <c r="N5" i="17" s="1"/>
  <c r="R40" i="15"/>
  <c r="K5" i="17" s="1"/>
  <c r="T40" i="15"/>
  <c r="M5" i="17" s="1"/>
  <c r="S40" i="15"/>
  <c r="L5" i="17" s="1"/>
  <c r="AA60" i="15"/>
  <c r="AA31" i="15"/>
  <c r="AA61" i="15" l="1"/>
  <c r="AD9" i="15"/>
  <c r="W5" i="16" s="1"/>
  <c r="AA32" i="15"/>
  <c r="Z32" i="15"/>
  <c r="AA62" i="15" l="1"/>
  <c r="N40" i="15"/>
  <c r="G5" i="17" s="1"/>
  <c r="G35" i="15" a="1"/>
  <c r="G35" i="15" s="1"/>
  <c r="F35" i="15" a="1"/>
  <c r="F35" i="15" s="1"/>
  <c r="G36" i="15" a="1"/>
  <c r="G36" i="15" s="1"/>
  <c r="B34" i="15" a="1"/>
  <c r="B34" i="15" s="1"/>
  <c r="G37" i="15" a="1"/>
  <c r="G37" i="15" s="1"/>
  <c r="E35" i="15" a="1"/>
  <c r="E35" i="15" s="1"/>
  <c r="F36" i="15" a="1"/>
  <c r="F36" i="15" s="1"/>
  <c r="F34" i="15" a="1"/>
  <c r="F34" i="15" s="1"/>
  <c r="F37" i="15" a="1"/>
  <c r="F37" i="15" s="1"/>
  <c r="B36" i="15" a="1"/>
  <c r="B36" i="15" s="1"/>
  <c r="C34" i="15" a="1"/>
  <c r="C34" i="15" s="1"/>
  <c r="A36" i="15" s="1"/>
  <c r="C36" i="15" a="1"/>
  <c r="C36" i="15" s="1"/>
  <c r="E34" i="15" a="1"/>
  <c r="E34" i="15" s="1"/>
  <c r="D37" i="15" a="1"/>
  <c r="D37" i="15" s="1"/>
  <c r="D35" i="15" a="1"/>
  <c r="D35" i="15" s="1"/>
  <c r="D36" i="15" a="1"/>
  <c r="D36" i="15" s="1"/>
  <c r="B35" i="15" a="1"/>
  <c r="B35" i="15" s="1"/>
  <c r="E36" i="15" a="1"/>
  <c r="E36" i="15" s="1"/>
  <c r="E37" i="15" a="1"/>
  <c r="E37" i="15" s="1"/>
  <c r="D34" i="15" a="1"/>
  <c r="D34" i="15" s="1"/>
  <c r="C37" i="15" a="1"/>
  <c r="C37" i="15" s="1"/>
  <c r="C35" i="15" a="1"/>
  <c r="C35" i="15" s="1"/>
  <c r="G34" i="15" a="1"/>
  <c r="G34" i="15" s="1"/>
  <c r="B37" i="15" a="1"/>
  <c r="B37" i="15" s="1"/>
  <c r="AE9" i="15"/>
  <c r="X5" i="16" s="1"/>
  <c r="AF9" i="15"/>
  <c r="Y5" i="16" s="1"/>
  <c r="D38" i="15" l="1"/>
  <c r="U25" i="16" s="1"/>
  <c r="Q36" i="15"/>
  <c r="Q35" i="15"/>
  <c r="Q37" i="15"/>
  <c r="Q34" i="15"/>
  <c r="AA63" i="15"/>
  <c r="A35" i="15"/>
  <c r="B27" i="16" s="1"/>
  <c r="B28" i="16" s="1"/>
  <c r="Q27" i="16"/>
  <c r="Q28" i="16" s="1"/>
  <c r="G27" i="16"/>
  <c r="G28" i="16" s="1"/>
  <c r="A103" i="15" l="1"/>
  <c r="AD16" i="16" s="1"/>
  <c r="A102" i="15"/>
  <c r="R16" i="16" s="1"/>
  <c r="B38" i="15"/>
  <c r="A25" i="16" s="1"/>
  <c r="G68" i="15" a="1"/>
  <c r="G68" i="15" s="1"/>
  <c r="B68" i="15" a="1"/>
  <c r="B68" i="15" s="1"/>
  <c r="G65" i="15" a="1"/>
  <c r="G65" i="15" s="1"/>
  <c r="E67" i="15" a="1"/>
  <c r="E67" i="15" s="1"/>
  <c r="C65" i="15" a="1"/>
  <c r="C65" i="15" s="1"/>
  <c r="F65" i="15" a="1"/>
  <c r="F65" i="15" s="1"/>
  <c r="E65" i="15" a="1"/>
  <c r="E65" i="15" s="1"/>
  <c r="C68" i="15" a="1"/>
  <c r="C68" i="15" s="1"/>
  <c r="B65" i="15" a="1"/>
  <c r="B65" i="15" s="1"/>
  <c r="E68" i="15" a="1"/>
  <c r="E68" i="15" s="1"/>
  <c r="F67" i="15" a="1"/>
  <c r="F67" i="15" s="1"/>
  <c r="A97" i="15"/>
  <c r="B100" i="15" s="1"/>
  <c r="E66" i="15" a="1"/>
  <c r="E66" i="15" s="1"/>
  <c r="D67" i="15" a="1"/>
  <c r="D67" i="15" s="1"/>
  <c r="D65" i="15" a="1"/>
  <c r="D65" i="15" s="1"/>
  <c r="D68" i="15" a="1"/>
  <c r="D68" i="15" s="1"/>
  <c r="B66" i="15" a="1"/>
  <c r="B66" i="15" s="1"/>
  <c r="D66" i="15" a="1"/>
  <c r="D66" i="15" s="1"/>
  <c r="C66" i="15" a="1"/>
  <c r="C66" i="15" s="1"/>
  <c r="F66" i="15" a="1"/>
  <c r="F66" i="15" s="1"/>
  <c r="F68" i="15" a="1"/>
  <c r="F68" i="15" s="1"/>
  <c r="C67" i="15" a="1"/>
  <c r="C67" i="15" s="1"/>
  <c r="G66" i="15" a="1"/>
  <c r="G66" i="15" s="1"/>
  <c r="B67" i="15" a="1"/>
  <c r="B67" i="15" s="1"/>
  <c r="G67" i="15" a="1"/>
  <c r="G67" i="15" s="1"/>
  <c r="L27" i="16"/>
  <c r="L28" i="16" s="1"/>
  <c r="J16" i="16"/>
  <c r="V16" i="16" l="1"/>
  <c r="K25" i="16"/>
  <c r="D69" i="15"/>
  <c r="U25" i="17" s="1"/>
  <c r="N16" i="16"/>
  <c r="F16" i="16"/>
  <c r="K25" i="18"/>
  <c r="A25" i="18"/>
  <c r="Z16" i="16"/>
  <c r="B27" i="18"/>
  <c r="B28" i="18" s="1"/>
  <c r="L27" i="18"/>
  <c r="L28" i="18" s="1"/>
  <c r="Q66" i="15"/>
  <c r="A66" i="15"/>
  <c r="B27" i="17" s="1"/>
  <c r="B28" i="17" s="1"/>
  <c r="Q65" i="15"/>
  <c r="Q68" i="15"/>
  <c r="Q67" i="15"/>
  <c r="N71" i="15"/>
  <c r="G5" i="18" s="1"/>
  <c r="C103" i="15" l="1"/>
  <c r="G103" i="15" s="1"/>
  <c r="H8" i="14" s="1"/>
  <c r="C102" i="15"/>
  <c r="B16" i="17" s="1"/>
  <c r="B69" i="15"/>
  <c r="L27" i="17"/>
  <c r="L28" i="17" s="1"/>
  <c r="A109" i="15" l="1"/>
  <c r="A7" i="16" s="1"/>
  <c r="J16" i="17"/>
  <c r="C109" i="15"/>
  <c r="A7" i="17" s="1"/>
  <c r="R16" i="17"/>
  <c r="G102" i="15"/>
  <c r="H7" i="14" s="1"/>
  <c r="Z16" i="17"/>
  <c r="E109" i="15"/>
  <c r="A7" i="18" s="1"/>
  <c r="A25" i="17"/>
  <c r="K25" i="17"/>
  <c r="H20" i="14"/>
  <c r="H21" i="14" s="1"/>
  <c r="AD16" i="17"/>
  <c r="V16" i="17"/>
  <c r="F16" i="17"/>
  <c r="N16" i="17"/>
  <c r="G109" i="15" l="1"/>
  <c r="H13" i="14" s="1"/>
</calcChain>
</file>

<file path=xl/sharedStrings.xml><?xml version="1.0" encoding="utf-8"?>
<sst xmlns="http://schemas.openxmlformats.org/spreadsheetml/2006/main" count="5238" uniqueCount="1857">
  <si>
    <t>Uponor Smatrix Wave Радіаторна термоголовка T-162</t>
  </si>
  <si>
    <t>Uponor Smatrix Base PRO Дротовий контролер X-147 Bus 6X</t>
  </si>
  <si>
    <t>Група продуктів</t>
  </si>
  <si>
    <t>Артикул</t>
  </si>
  <si>
    <t>Опис</t>
  </si>
  <si>
    <t>Ціна за од. 
з ПДВ, Євро</t>
  </si>
  <si>
    <t>Од.виміру</t>
  </si>
  <si>
    <t>м</t>
  </si>
  <si>
    <t>м2</t>
  </si>
  <si>
    <t>шт</t>
  </si>
  <si>
    <t>02105,  проспект Миру, 15-А, Київ, Україна</t>
  </si>
  <si>
    <t>www.uponor.ua</t>
  </si>
  <si>
    <t>Uponor Україна</t>
  </si>
  <si>
    <t>T: +38 (044) 209 79 09</t>
  </si>
  <si>
    <t>Знижка</t>
  </si>
  <si>
    <t>№ п/п</t>
  </si>
  <si>
    <t>К-ть, шт</t>
  </si>
  <si>
    <t>Uponor Renovis</t>
  </si>
  <si>
    <t>Автоматика бездротова PULSE, регулюючі та виконуючі механізми</t>
  </si>
  <si>
    <t>Автоматика дротова PULSE, регулюючі та виконуючі механізми</t>
  </si>
  <si>
    <t>Зони</t>
  </si>
  <si>
    <t>Кількість кімнат
з термостатами :</t>
  </si>
  <si>
    <t>Контури</t>
  </si>
  <si>
    <t>ФОТО</t>
  </si>
  <si>
    <t>Комплектуючі</t>
  </si>
  <si>
    <t>Uponor Vario PLUS Модульний пласт. колектор FM 6 вих.</t>
  </si>
  <si>
    <t>Uponor Vario PLUS Модульний пласт. колектор FM 14 вих.</t>
  </si>
  <si>
    <t>Uponor Vario PLUS Модульний пласт. колектор FM 13 вих.</t>
  </si>
  <si>
    <t>Uponor Vario PLUS Модульний пласт. колектор FM 12 вих.</t>
  </si>
  <si>
    <t>Uponor Vario PLUS Модульний пласт. колектор FM 11 вих.</t>
  </si>
  <si>
    <t>Uponor Vario PLUS Модульний пласт. колектор FM 10 вих.</t>
  </si>
  <si>
    <t>Uponor Vario PLUS Модульний пласт. колектор FM 9 вих.</t>
  </si>
  <si>
    <t>Uponor Vario PLUS Модульний пласт. колектор FM 8 вих.</t>
  </si>
  <si>
    <t>Uponor Vario PLUS Модульний пласт. колектор FM 7 вих.</t>
  </si>
  <si>
    <t>Uponor Vario PLUS Модульний пласт. колектор FM 5 вих.</t>
  </si>
  <si>
    <t>Uponor Vario PLUS Модульний пласт. колектор FM 4 вих.</t>
  </si>
  <si>
    <t>Uponor Vario PLUS Модульний пласт. колектор FM 2 вих.</t>
  </si>
  <si>
    <t>Uponor Vario PLUS Модульний пласт. колектор FM 3 вих.</t>
  </si>
  <si>
    <t>Поверх 1</t>
  </si>
  <si>
    <t>Кількість контурів підлоги</t>
  </si>
  <si>
    <t>Кількість контурів радіаторів/конвекторів
(від колектора)</t>
  </si>
  <si>
    <t>Кількість радіаторів
(трійникова схема)</t>
  </si>
  <si>
    <t>Кількість контурів фанкойлів
(від колектора)</t>
  </si>
  <si>
    <t>Основний термостат:</t>
  </si>
  <si>
    <t>Smatrix Wave T-169 чорний</t>
  </si>
  <si>
    <t>Smatrix Wave T-169 білий</t>
  </si>
  <si>
    <t>Smatrix Wave T-161</t>
  </si>
  <si>
    <t>Smatrix Wave T-168 прогр.</t>
  </si>
  <si>
    <t>Тип автоматики:</t>
  </si>
  <si>
    <t>Smatrix Base T-148 прогр.</t>
  </si>
  <si>
    <t xml:space="preserve"> </t>
  </si>
  <si>
    <t>Smatrix Base T-149 білий</t>
  </si>
  <si>
    <t>Smatrix Base T-149 чорний</t>
  </si>
  <si>
    <t>Smatrix Base T-141</t>
  </si>
  <si>
    <t>Приміщення</t>
  </si>
  <si>
    <t>Uponor Vario PLUS Модульний пласт. колектор FM 1 вих.</t>
  </si>
  <si>
    <t>Схема підключень автоматики Uponor Smatrix Pulse</t>
  </si>
  <si>
    <t>Кількість контурів 
стін і стелі 
(від колектора)</t>
  </si>
  <si>
    <t>Радіаторна головка (тільки для бездротової системи):</t>
  </si>
  <si>
    <t>Номер приміщення</t>
  </si>
  <si>
    <t>Поверх 2</t>
  </si>
  <si>
    <t>Поверх 3</t>
  </si>
  <si>
    <t>Uponor Smatrix Wave Pulse 
Модуль розширення M-262 6X</t>
  </si>
  <si>
    <t>Uponor Smatrix Base Pulse 
Модуль розширення M-242 BUS 6X</t>
  </si>
  <si>
    <t>СПЕЦИФІКАЦІЯ</t>
  </si>
  <si>
    <r>
      <t>P</t>
    </r>
    <r>
      <rPr>
        <sz val="9"/>
        <color rgb="FF008000"/>
        <rFont val="Century Gothic"/>
        <family val="2"/>
        <charset val="204"/>
      </rPr>
      <t> Перед тим як друкувати, переконайтеся, що це дійсно необхідно. Бережіть природу!</t>
    </r>
  </si>
  <si>
    <t>Розр. к-ть, шт</t>
  </si>
  <si>
    <t>Uponor 
Сервопривід 
230В, 
(зима/літо)</t>
  </si>
  <si>
    <t>компл</t>
  </si>
  <si>
    <t>Uponor Q&amp;E</t>
  </si>
  <si>
    <t>Uponor Minitec</t>
  </si>
  <si>
    <t>Uponor Tecto</t>
  </si>
  <si>
    <t>Uponor Nubos</t>
  </si>
  <si>
    <t>Uponor Klett</t>
  </si>
  <si>
    <t>Uponor Tacker</t>
  </si>
  <si>
    <t>Uponor Classic</t>
  </si>
  <si>
    <t>Uponor Vario Затиск. адаптер (Євроконус) PEX 16x1,8/2,0-G3/4"FT Euro</t>
  </si>
  <si>
    <t>Uponor Vario Затиск. адаптер (Євроконус) PEX 17x2,0-G3/4"FT Euro</t>
  </si>
  <si>
    <t>Uponor Vario Затиск. адаптер (Євроконус) PEX 20x1,9/2,0-G3/4"FT Euro</t>
  </si>
  <si>
    <t>Uponor Siccus 14</t>
  </si>
  <si>
    <t>Uponor Siccus 20</t>
  </si>
  <si>
    <t>Uponor Magna</t>
  </si>
  <si>
    <t>Uponor Multi</t>
  </si>
  <si>
    <t>Uponor Vario PLUS</t>
  </si>
  <si>
    <t>Uponor Vario Затиск. адаптер (Євроконус) PEX 14x2,0-G3/4"FT Euro</t>
  </si>
  <si>
    <t>Uponor Vario S</t>
  </si>
  <si>
    <t>Uponor Vario S Сталевий колектор FM 2X3/4 Euro</t>
  </si>
  <si>
    <t>Uponor Vario S Сталевий колектор FM 3x3/4 Euro</t>
  </si>
  <si>
    <t>Uponor Vario S Сталевий колектор FM 4x3/4 Euro</t>
  </si>
  <si>
    <t>Uponor Vario S Сталевий колектор FM 5x3/4 Euro</t>
  </si>
  <si>
    <t>Uponor Vario S Сталевий колектор FM 6x3/4 Euro</t>
  </si>
  <si>
    <t>Uponor Vario S Сталевий колектор FM 7X3/4 Euro</t>
  </si>
  <si>
    <t>Uponor Vario S Сталевий колектор FM 8x3/4 Euro</t>
  </si>
  <si>
    <t>Uponor Vario S Сталевий колектор FM 9x3/4 Euro</t>
  </si>
  <si>
    <t>Uponor Vario S Сталевий колектор FM 10x3/4 Euro</t>
  </si>
  <si>
    <t>Uponor Vario S Сталевий колектор FM 11x3/4 Euro</t>
  </si>
  <si>
    <t>Uponor Vario S Сталевий колектор FM 12x3/4 Euro</t>
  </si>
  <si>
    <t>Uponor Vario S Сталевий колектор FM 13x3/4 Euro</t>
  </si>
  <si>
    <t>Uponor Vario S Сталевий колектор FM 14X3/4 Euro</t>
  </si>
  <si>
    <t>Uponor Vario S Сталевий колектор FM 15x3/4 Euro</t>
  </si>
  <si>
    <t>Uponor Vario S Сталевий колектор FM 16x3/4 Euro</t>
  </si>
  <si>
    <t>Uponor Vario</t>
  </si>
  <si>
    <t xml:space="preserve">Uponor Smatrix Move PRO </t>
  </si>
  <si>
    <t>Uponor Smatrix Move</t>
  </si>
  <si>
    <t>Uponor Smatrix Wave / Style</t>
  </si>
  <si>
    <t>Uponor Smatrix Модуль Wi-Fi Pulse com R-208</t>
  </si>
  <si>
    <t>Uponor Smatrix Base PRO / Style</t>
  </si>
  <si>
    <t>Uponor Smatrix Base / Style</t>
  </si>
  <si>
    <t>Uponor Base</t>
  </si>
  <si>
    <t>Uponor Smatrix</t>
  </si>
  <si>
    <t>Uponor Comfort E</t>
  </si>
  <si>
    <t>Uponor Wipex</t>
  </si>
  <si>
    <t>Вартість 
з ПДВ, Євро</t>
  </si>
  <si>
    <t>Ціна зі 
знижкою, Євро</t>
  </si>
  <si>
    <t>Всього Євро,
 з ПДВ</t>
  </si>
  <si>
    <t>Технічний представник</t>
  </si>
  <si>
    <t>T</t>
  </si>
  <si>
    <t>+38 (044) 209 7909</t>
  </si>
  <si>
    <t>M</t>
  </si>
  <si>
    <t>+38 (067) 487 5641</t>
  </si>
  <si>
    <t>W</t>
  </si>
  <si>
    <t>Представництво UPONOR GmbH</t>
  </si>
  <si>
    <t>проспект Миру, 15-А,</t>
  </si>
  <si>
    <t>Київ, Україна</t>
  </si>
  <si>
    <r>
      <t>Юрій Волох</t>
    </r>
    <r>
      <rPr>
        <b/>
        <sz val="8"/>
        <color rgb="FF1F497D"/>
        <rFont val="Century Gothic"/>
        <family val="2"/>
        <charset val="204"/>
      </rPr>
      <t> </t>
    </r>
  </si>
  <si>
    <t>Алгоритм роботи:</t>
  </si>
  <si>
    <t xml:space="preserve">         На вкладках поверхів з’являється схема підключень термостатів та колекторів (колір термостата відповідає кольору контролера)</t>
  </si>
  <si>
    <t>         Додайте за необхідності знижку над таблицею.</t>
  </si>
  <si>
    <t>         На вкладці «Друк» готова комерційна пропозиція (використати фільтр для к-ті «0»).</t>
  </si>
  <si>
    <t>         На вкладці «Специфікація» крайня права колонка показує розрахункову кількість по кожному елементу. ЇЇ можна скопіювати у колонку Кількість або зробити правки вручну. Також можна додати знизу артикули  3-х додаткових елементів.</t>
  </si>
  <si>
    <t>         Вибираємо тип автоматики та термостат на вкладці «Вихідні дані»</t>
  </si>
  <si>
    <r>
      <t xml:space="preserve">Додатковий термостат: 
</t>
    </r>
    <r>
      <rPr>
        <b/>
        <sz val="8"/>
        <color rgb="FF203764"/>
        <rFont val="Century Gothic"/>
        <family val="2"/>
        <charset val="204"/>
      </rPr>
      <t>(при роботі поверхневих та конвективних систем в одному приміщенні)</t>
    </r>
  </si>
  <si>
    <t>         Вносимо кількість контурів по кожному приміщенню на вкладці «Вихідні дані». Починати рекомендується з найбільшої кімнати.</t>
  </si>
  <si>
    <t>Uponor Smatrix Wave Pulse 
Контролер X-265 6X</t>
  </si>
  <si>
    <t>Uponor Vario Комплект балансувальних клапанів</t>
  </si>
  <si>
    <t>Uponor Smatrix Wave Бездротове реле M-161</t>
  </si>
  <si>
    <t>Uponor Smatrix Base Pulse 
Контролер X-245 6X</t>
  </si>
  <si>
    <t>Uponor Vario S Сталевий колектор FM на 10 вих.</t>
  </si>
  <si>
    <t>Мін. к-ть для замовлення_1</t>
  </si>
  <si>
    <t>Мін. к-ть для замовлення_2</t>
  </si>
  <si>
    <t>Uponor Uni Pipe PLUS</t>
  </si>
  <si>
    <t>Uponor Teck</t>
  </si>
  <si>
    <t>Uponor Uni</t>
  </si>
  <si>
    <t>Uponor S-Press PLUS</t>
  </si>
  <si>
    <t>Uponor RS</t>
  </si>
  <si>
    <t>Uponor RS Прес-адаптер S-Press 16-RS2</t>
  </si>
  <si>
    <t>Uponor RS Прес-адаптер S-Press PLUS 20-RS2</t>
  </si>
  <si>
    <t>Uponor RS Прес-адаптер S-Press PLUS 25-RS2</t>
  </si>
  <si>
    <t>Uponor RS Прес-адаптер S-Press PLUS 32-RS2</t>
  </si>
  <si>
    <t>Uponor RS Прес-адаптер S-Press 40-RS2</t>
  </si>
  <si>
    <t>Uponor RS Прес-адаптер S-Press 50-RS2</t>
  </si>
  <si>
    <t>Uponor RS Прес-адаптер S-Press 63-RS2</t>
  </si>
  <si>
    <t>Uponor RS Прес-адаптер S-Press 75-RS2</t>
  </si>
  <si>
    <t>Uponor RS Прес-адаптер S-Press 90-RS3</t>
  </si>
  <si>
    <t>Uponor RS Прес-адаптер S-Press 110-RS3</t>
  </si>
  <si>
    <t>Uponor Uni-X</t>
  </si>
  <si>
    <t>Uponor Uni-X Затискний адаптер (Євроконус) MLC 16-3/4"FT Euro</t>
  </si>
  <si>
    <t>Uponor Uni-X Затискний адаптер (Євроконус) MLC 20-3/4"FT Euro</t>
  </si>
  <si>
    <t>Uponor Uni-X Затискний адаптер (Євроконус) MLC 25-3/4"FT Euro</t>
  </si>
  <si>
    <t>Uponor Uni-X Затискний адаптер М22 MLC 16-M22</t>
  </si>
  <si>
    <t>Uponor Uni-X Затискний адаптер M24 MLC 16-M24</t>
  </si>
  <si>
    <t>Uponor Uni-X Колектор радіаторний H 1"SN 2xG3/4 Euro</t>
  </si>
  <si>
    <t>Uponor Uni-X Колектор радіаторний H 1"SN 3XG3/4 Euro</t>
  </si>
  <si>
    <t>Uponor Uni-X Колектор радіаторний H 1"SN 4XG3/4 Euro</t>
  </si>
  <si>
    <t>Uponor Uni-X Колектор радіаторний H 1"SN 5XG3/4 Euro</t>
  </si>
  <si>
    <t>Uponor Uni-X Колектор радіаторний H 1"SN 6XG3/4 Euro</t>
  </si>
  <si>
    <t>Uponor Uni-X Колектор радіаторний H 1"SN 7XG3/4 Euro</t>
  </si>
  <si>
    <t>Uponor Uni-X Колектор радіаторний H 1"SN 8XG3/4 Euro</t>
  </si>
  <si>
    <t>Uponor Uni-X Колектор радіаторний H 1"SN 9XG3/4 Euro</t>
  </si>
  <si>
    <t>Uponor Uni-X Колектор радіаторний H 1"SN 10XG3/4 Euro</t>
  </si>
  <si>
    <t>Uponor Uni-X Колектор радіаторний H 1"SN 11XG3/4 Euro</t>
  </si>
  <si>
    <t>Uponor Uni-X Колектор радіаторний H 1"SN 12XG3/4 EURO</t>
  </si>
  <si>
    <t>Uponor Uni-C</t>
  </si>
  <si>
    <t>Uponor Uni-C Колектор, тип S 1"MT/FT 2X1/2"MT</t>
  </si>
  <si>
    <t>Uponor Uni-C Колектор, тип S 1"MT/FT 3X1/2"MT</t>
  </si>
  <si>
    <t>Uponor Uni-C Колектор, тип S 1"MT/FT 4X1/2"MT</t>
  </si>
  <si>
    <t>Uponor Uni-C Заглушка ЗР для колектора S/SH PL 1"MT</t>
  </si>
  <si>
    <t>Uponor Uni-C Заглушка ВР для колектора S/SH PL G1/2"FT</t>
  </si>
  <si>
    <t>Uponor Uni-C Затискний адаптер (Євроконус) MLC 16-1/2"FT</t>
  </si>
  <si>
    <t>Uponor Uni-C Затискний адаптер (Євроконус) MLC 20-1/2"FT</t>
  </si>
  <si>
    <t>Uponor Uni-C Ніпель під Євроконус MLC 1/2"MT-1/2"MT</t>
  </si>
  <si>
    <t>Uponor Uni-C Коліно ЗР/ЗР під Євроконус MLC G1/2"MT-G1/2"MT</t>
  </si>
  <si>
    <t>Uponor Uni-C Коліно ВР/ЗР під Євроконус MLC G1/2"MT-Rp1/2"FT</t>
  </si>
  <si>
    <t>Uponor Aqua Pipe</t>
  </si>
  <si>
    <t>Uponor Radi Pipe</t>
  </si>
  <si>
    <t>Uponor Q&amp;E Кільце біле з упором natural 40</t>
  </si>
  <si>
    <t>Uponor Q&amp;E Кільце біле з упором natural 50</t>
  </si>
  <si>
    <t>Uponor Q&amp;E Кільце біле з упором natural 63</t>
  </si>
  <si>
    <t>Uponor Q&amp;E Кільце біле з упором natural 75</t>
  </si>
  <si>
    <t>Uponor Q&amp;E Колектор PPSU 25, 3X16 c/c45+35</t>
  </si>
  <si>
    <t>Uponor Q&amp;E Колектор PPSU 25 4X16 c/c45+2X35</t>
  </si>
  <si>
    <t>Uponor Q&amp;E Коліно PPSU 16-16</t>
  </si>
  <si>
    <t>Uponor Q&amp;E Коліно PPSU 20-20</t>
  </si>
  <si>
    <t>Uponor Q&amp;E Коліно PPSU 25-25</t>
  </si>
  <si>
    <t>Uponor Q&amp;E Коліно PPSU 32-32</t>
  </si>
  <si>
    <t>Uponor Q&amp;E Коліно PPSU 40-40</t>
  </si>
  <si>
    <t>Uponor Q&amp;E Коліно PPSU 50-50</t>
  </si>
  <si>
    <t>Uponor Q&amp;E Коліно PPSU 63-63</t>
  </si>
  <si>
    <t>Uponor Q&amp;E Коліно PPSU 75-75</t>
  </si>
  <si>
    <t>Uponor Q&amp;E Муфта PPSU 16-16</t>
  </si>
  <si>
    <t>Uponor Q&amp;E Муфта PPSU 20-20</t>
  </si>
  <si>
    <t>Uponor Q&amp;E Муфта PPSU 25-25</t>
  </si>
  <si>
    <t>Uponor Q&amp;E Муфта PPSU 32-32</t>
  </si>
  <si>
    <t>Uponor Q&amp;E Муфта PPSU 40-40</t>
  </si>
  <si>
    <t>Uponor Q&amp;E Муфта PPSU 50-50</t>
  </si>
  <si>
    <t>Uponor Q&amp;E Муфта PPSU 63-63</t>
  </si>
  <si>
    <t>Uponor Q&amp;E Муфта PPSU 75-75</t>
  </si>
  <si>
    <t>Uponor Q&amp;E Редукція PPSU 20-16</t>
  </si>
  <si>
    <t>Uponor Q&amp;E Редукція PPSU 25-16</t>
  </si>
  <si>
    <t>Uponor Q&amp;E Редукція PPSU 25-20</t>
  </si>
  <si>
    <t>Uponor Q&amp;E Редукція PPSU 32-25</t>
  </si>
  <si>
    <t>Uponor Q&amp;E Редукція PPSU 40-32</t>
  </si>
  <si>
    <t>Uponor Q&amp;E Редукція PPSU 50-32</t>
  </si>
  <si>
    <t>Uponor Q&amp;E Редукція PPSU 50-40</t>
  </si>
  <si>
    <t>Uponor Q&amp;E Редукція PPSU 63-40</t>
  </si>
  <si>
    <t>Uponor Q&amp;E Редукція PPSU 63-50</t>
  </si>
  <si>
    <t>Uponor Q&amp;E Редукція PPSU 75-50</t>
  </si>
  <si>
    <t>Uponor Q&amp;E Редукція PPSU 75-63</t>
  </si>
  <si>
    <t>Uponor Q&amp;E Трійник редукційний PPSU 16-20-16</t>
  </si>
  <si>
    <t>Uponor Q&amp;E Трійник редукційний PPSU 20-16-16</t>
  </si>
  <si>
    <t>Uponor Q&amp;E Трійник редукційний PPSU 20-16-20</t>
  </si>
  <si>
    <t>Uponor Q&amp;E Трійник редукційний PPSU 20-20-16</t>
  </si>
  <si>
    <t>Uponor Q&amp;E Трійник редукційний PPSU 20-25-20</t>
  </si>
  <si>
    <t>Uponor Q&amp;E Трійник редукційний PPSU 25-16-16</t>
  </si>
  <si>
    <t>Uponor Q&amp;E Трійник редукційний PPSU 25-16-20</t>
  </si>
  <si>
    <t>Uponor Q&amp;E Трійник редукційний PPSU 25-16-25</t>
  </si>
  <si>
    <t>Uponor Q&amp;E Трійник редукційний PPSU 25-20-16</t>
  </si>
  <si>
    <t>Uponor Q&amp;E Трійник редукційний PPSU 25-20-20</t>
  </si>
  <si>
    <t>Uponor Q&amp;E Трійник редукційний PPSU 25-20-25</t>
  </si>
  <si>
    <t>Uponor Q&amp;E Трійник редукційний PPSU 25-25-20</t>
  </si>
  <si>
    <t>Uponor Q&amp;E Трійник редукційний PPSU 25-32-25</t>
  </si>
  <si>
    <t>Uponor Q&amp;E Трійник редукційний PPSU 32-20-25</t>
  </si>
  <si>
    <t>Uponor Q&amp;E Трійник редукційний PPSU 32-20-32</t>
  </si>
  <si>
    <t>Uponor Q&amp;E Трійник редукційний PPSU 32-25-20</t>
  </si>
  <si>
    <t>Uponor Q&amp;E Трійник редукційний PPSU 32-25-25</t>
  </si>
  <si>
    <t>Uponor Q&amp;E Трійник редукційний PPSU 32-25-32</t>
  </si>
  <si>
    <t>Uponor Q&amp;E Трійник редукційний PPSU 32-40-32</t>
  </si>
  <si>
    <t>Uponor Q&amp;E Трійник редукційний PPSU 40-20-32</t>
  </si>
  <si>
    <t>Uponor Q&amp;E Трійник редукційний PPSU 40-20-40</t>
  </si>
  <si>
    <t>Uponor Q&amp;E Трійник редукційний PPSU 40-25-32</t>
  </si>
  <si>
    <t>Uponor Q&amp;E Трійник редукційний PPSU 40-25-40</t>
  </si>
  <si>
    <t>Uponor Q&amp;E Трійник редукційний PPSU 40-32-32</t>
  </si>
  <si>
    <t>Uponor Q&amp;E Трійник редукційний PPSU 40-32-40</t>
  </si>
  <si>
    <t>Uponor Q&amp;E Трійник редукційний PPSU 50-25-40</t>
  </si>
  <si>
    <t>Uponor Q&amp;E Трійник редукційний PPSU 50-25-50</t>
  </si>
  <si>
    <t>Uponor Q&amp;E Трійник редукційний PPSU 50-32-50</t>
  </si>
  <si>
    <t>Uponor Q&amp;E Трійник редукційний PPSU 50-40-40</t>
  </si>
  <si>
    <t>Uponor Q&amp;E Трійник редукційний PPSU 50-40-50</t>
  </si>
  <si>
    <t>Uponor Q&amp;E Трійник редукційний PPSU 63-25-50</t>
  </si>
  <si>
    <t>Uponor Q&amp;E Трійник редукційний PPSU 63-25-63</t>
  </si>
  <si>
    <t>Uponor Q&amp;E Трійник редукційний PPSU 63-32-63</t>
  </si>
  <si>
    <t>Uponor Q&amp;E Трійник редукційний PPSU 63-40-40</t>
  </si>
  <si>
    <t>Uponor Q&amp;E Трійник редукційний PPSU 63-40-63</t>
  </si>
  <si>
    <t>Uponor Q&amp;E Трійник редукційний PPSU 63-50-50</t>
  </si>
  <si>
    <t>Uponor Q&amp;E Трійник редукційний PPSU 63-50-63</t>
  </si>
  <si>
    <t>Uponor Q&amp;E Трійник редукційний PPSU 75-25-75</t>
  </si>
  <si>
    <t>Uponor Q&amp;E Трійник редукційний PPSU 75-40-75</t>
  </si>
  <si>
    <t>Uponor Q&amp;E Штуцер із зовн. різьбою PL 16-R1/2"MT</t>
  </si>
  <si>
    <t>Uponor Q&amp;E Штуцер із зовн. різьбою PL 16-R3/4"MT</t>
  </si>
  <si>
    <t>Uponor Q&amp;E Штуцер із зовн. різьбою PL 20-R1/2"MT</t>
  </si>
  <si>
    <t>Uponor Q&amp;E Штуцер із зовн. різьбою PL 20-R3/4"MT</t>
  </si>
  <si>
    <t>Uponor Q&amp;E Штуцер із зовн. різьбою PL 25-R3/4"MT</t>
  </si>
  <si>
    <t>Uponor Q&amp;E Штуцер із зовн. різьбою PL 25-R1"MT</t>
  </si>
  <si>
    <t>Uponor Q&amp;E Штуцер із зовн. різьбою PL 32-R1"MT</t>
  </si>
  <si>
    <t>Uponor Q&amp;E Штуцер із зовн. різьбою PL/DR 40-R1 1/4"MT</t>
  </si>
  <si>
    <t>Uponor Q&amp;E Штуцер із зовн. різьбою PL/DR 50-R1 1/2"MT</t>
  </si>
  <si>
    <t>Uponor Q&amp;E Штуцер із зовн. різьбою PL/DR 63-R2"MT</t>
  </si>
  <si>
    <t>Uponor Q&amp;E Штуцер із зовн. різьбою PL/DR 75-R2 1/2"MT</t>
  </si>
  <si>
    <t>Uponor Q&amp;E Штуцер із зовн. різьбою PL 16-G1/2"MT</t>
  </si>
  <si>
    <t>Uponor Q&amp;E Штуцер із зовн. різьбою PL 20-G1/2"MT</t>
  </si>
  <si>
    <t>Uponor Q&amp;E Штуцер із зовн. різьбою PL 20-G3/4"MT</t>
  </si>
  <si>
    <t>Uponor Q&amp;E Штуцер із зовн. різьбою PL 25-G3/4"MT</t>
  </si>
  <si>
    <t>Uponor Q&amp;E Штуцер із зовн. різьбою PL 25-G1"MT</t>
  </si>
  <si>
    <t>Uponor Q&amp;E Штуцер із зовн. різьбою PL 50-G1 1/2"MT</t>
  </si>
  <si>
    <t>Uponor Q&amp;E Штуцер з внутр. різьбою PL 16-Rp1/2"FT</t>
  </si>
  <si>
    <t>Uponor Q&amp;E Штуцер з внутр. різьбою PL 20-Rp1/2"FT</t>
  </si>
  <si>
    <t>Uponor Q&amp;E Штуцер з внутр. різьбою PL 20-Rp3/4"FT</t>
  </si>
  <si>
    <t>Uponor Q&amp;E Штуцер з внутр. різьбою PL 25-Rp3/4"FT</t>
  </si>
  <si>
    <t>Uponor Q&amp;E Штуцер з внутр. різьбою PL 25-Rp1"FT</t>
  </si>
  <si>
    <t>Uponor Q&amp;E Штуцер з внутр. різьбою PL/DR 50-RP1 1/2"FT</t>
  </si>
  <si>
    <t>Uponor Q&amp;E Штуцер з внутр. різьбою PL 32-G1"FT</t>
  </si>
  <si>
    <t>Uponor Q&amp;E Штуцер з внутр. різьбою PL 40-G1 1/4"FT</t>
  </si>
  <si>
    <t>Uponor Q&amp;E Коліно із зовн. різьбою PL 16-G1/2"MT</t>
  </si>
  <si>
    <t>Uponor Q&amp;E Коліно із зовн. різьбою PL 20-G1/2"MT</t>
  </si>
  <si>
    <t>Uponor Q&amp;E Коліно із зовн. різьбою PL 20-G3/4"MT</t>
  </si>
  <si>
    <t>Uponor Q&amp;E Коліно із зовн. різьбою PL 25-G3/4"MT</t>
  </si>
  <si>
    <t>Uponor Q&amp;E Коліно із зовн. різьбою PL 32-G1"MT</t>
  </si>
  <si>
    <t>Uponor Q&amp;E Коліно з внутр. різьбою PL 16-G1/2"FT</t>
  </si>
  <si>
    <t>Uponor Q&amp;E Коліно з внутр. різьбою PL 20-G1/2"FT</t>
  </si>
  <si>
    <t>Uponor Q&amp;E Коліно з внутр. різьбою PL 20-G3/4"FT</t>
  </si>
  <si>
    <t>Uponor Q&amp;E Коліно з внутр. різьбою PL 25-G3/4"FT</t>
  </si>
  <si>
    <t>Uponor Q&amp;E Трійник з внутр. різьбою PL 16-Rp1/2"FT-16</t>
  </si>
  <si>
    <t>Uponor Q&amp;E Трійник з внутр. різьбою PL 20-Rp1/2"FT-20</t>
  </si>
  <si>
    <t>Uponor Q&amp;E Трійник з внутр. різьбою PL 25-Rp1/2"FT-25</t>
  </si>
  <si>
    <t>Uponor Q&amp;E Трійник з внутр. різьбою PL 25-Rp3/4"FT-25</t>
  </si>
  <si>
    <t>Uponor Q&amp;E Трійник з внутр. різьбою PL 32-Rp1"FT-32</t>
  </si>
  <si>
    <t>Uponor Q&amp;E Штуцер з накидною гайкою PL 16-G1/2"SN</t>
  </si>
  <si>
    <t>Uponor Q&amp;E Штуцер з накидною гайкою PL 20-G1/2"SN</t>
  </si>
  <si>
    <t>Uponor Q&amp;E Штуцер з накидною гайкою PL 20-G3/4"SN</t>
  </si>
  <si>
    <t>Uponor Q&amp;E Штуцер з накидною гайкою PL 25-G3/4"SN</t>
  </si>
  <si>
    <t>Uponor Q&amp;E Штуцер з накидною гайкою PL 25-G1"SN</t>
  </si>
  <si>
    <t>Uponor Q&amp;E Коліно з накидною гайкою PL 16-G1/2"SN</t>
  </si>
  <si>
    <t>Uponor Q&amp;E Коліно з накидною гайкою PL 20-G1/2"SN</t>
  </si>
  <si>
    <t>Uponor Q&amp;E Коліно з накидною гайкою PL 20-G3/4"SN</t>
  </si>
  <si>
    <t>Uponor Q&amp;E Коліно з накидною гайкою PL 25-G3/4"SN</t>
  </si>
  <si>
    <t>Uponor Q&amp;E Перехід  PEX - AL/PEX DR S-Press 16-Q&amp;E16</t>
  </si>
  <si>
    <t>Uponor Q&amp;E Перехід  PEX - AL/PEX DR S-Press 20-Q&amp;E20</t>
  </si>
  <si>
    <t>Uponor Q&amp;E Перехід  PEX - AL/PEX DR S-Press 25-Q&amp;E25</t>
  </si>
  <si>
    <t>Uponor Q&amp;E Перехід на мідь PL 16-12CU</t>
  </si>
  <si>
    <t>Uponor Q&amp;E Перехід на мідь PL 16-15CU</t>
  </si>
  <si>
    <t>Uponor Q&amp;E Перехід на мідь PL 20-15CU</t>
  </si>
  <si>
    <t>Uponor Q&amp;E Перехід на мідь PL 20-18CU</t>
  </si>
  <si>
    <t>Uponor Q&amp;E Перехід на мідь PL 20-22CU</t>
  </si>
  <si>
    <t>Uponor Q&amp;E Перехід на мідь PL 25-22CU</t>
  </si>
  <si>
    <t>Uponor Q&amp;E Перехід на мідь PL 25-28CU</t>
  </si>
  <si>
    <t>Uponor Q&amp;E Перехід на мідь PL 32-28CU</t>
  </si>
  <si>
    <t>Uponor Q&amp;E Прихований кран кульовий PL 16-16</t>
  </si>
  <si>
    <t>Uponor Q&amp;E Прихований кран кульовий PL 20-20</t>
  </si>
  <si>
    <t>Uponor Q&amp;E Прихований кран кульовий PL 25-25</t>
  </si>
  <si>
    <t>Uponor Flex-X</t>
  </si>
  <si>
    <t>Uponor Flex-X Євроконус PEX 16x1,8/2,0-3/4"FT Euro</t>
  </si>
  <si>
    <t>Uponor Flex-X Євроконус PEX 16x2,2-3/4"FT Euro</t>
  </si>
  <si>
    <t>Uponor Flex-X Євроконус PEX 20X1,9/2,0-3/4"FT Euro</t>
  </si>
  <si>
    <t>Uponor Flex-X Євроконус PEX 20x2,8-3/4"FT Euro</t>
  </si>
  <si>
    <t>Uponor RS Адаптер на PEX трубу PL Q&amp;E 25-RS2</t>
  </si>
  <si>
    <t>Uponor RS Адаптер на PEX трубу PL Q&amp;E 32-RS2</t>
  </si>
  <si>
    <t>Uponor RS Адаптер на PEX трубу PL Q&amp;E 40-RS2</t>
  </si>
  <si>
    <t>Uponor RS Адаптер на PEX трубу PL Q&amp;E 50-RS2</t>
  </si>
  <si>
    <t>Uponor RS Адаптер на PEX трубу PL Q&amp;E 63-RS2</t>
  </si>
  <si>
    <t>Uponor RS Адаптер на PEX трубу PL/DR Q&amp;E 75-RS2</t>
  </si>
  <si>
    <t>Uponor Flex</t>
  </si>
  <si>
    <t>Uponor INOX</t>
  </si>
  <si>
    <t>Uponor INOX Перехід на фланець PN16 DN12-15 mm</t>
  </si>
  <si>
    <t>Uponor INOX Перехід на фланець PN16 DN15-18 mm</t>
  </si>
  <si>
    <t>Uponor INOX Перехід на фланець PN16 DN20-22 mm</t>
  </si>
  <si>
    <t>Uponor INOX Перехід на фланець PN16 DN25-28 mm</t>
  </si>
  <si>
    <t>Uponor INOX Перехід на фланець PN16 DN32-35 mm</t>
  </si>
  <si>
    <t>Uponor INOX Перехід на фланець PN16 DN40-42 mm</t>
  </si>
  <si>
    <t>Uponor INOX Перехід на фланець PN16 DN50-54 mm</t>
  </si>
  <si>
    <t>Uponor Comfort Pipe PLUS</t>
  </si>
  <si>
    <t>Uponor Comfort Pipe</t>
  </si>
  <si>
    <t>Uponor Fix</t>
  </si>
  <si>
    <t>Uponor Meltaway</t>
  </si>
  <si>
    <t>Uponor Thermatop</t>
  </si>
  <si>
    <t>Uponor Vario PLUS Сервопривід для пласт. колекторів NC 24V MT30x1,5</t>
  </si>
  <si>
    <t>Uponor Vario S Ст. колектор без витратомірів LS 2X3/4 Euro</t>
  </si>
  <si>
    <t>Uponor Vario S Ст. колектор без витратомірів LS 3X3/4 Euro</t>
  </si>
  <si>
    <t>Uponor Vario S Ст. колектор без витратомірів LS 4X3/4 Euro</t>
  </si>
  <si>
    <t>Uponor Vario S Ст. колектор без витратомірів LS 5X3/4 Euro</t>
  </si>
  <si>
    <t>Uponor Vario S Ст. колектор без витратомірів LS 6X3/4 Euro</t>
  </si>
  <si>
    <t>Uponor Vario S Ст. колектор без витратомірів LS 7X3/4 Euro</t>
  </si>
  <si>
    <t>Uponor Vario S Ст. колектор без витратомірів LS 8X3/4 Euro</t>
  </si>
  <si>
    <t>Uponor Vario S Ст. колектор без витратомірів LS 9X3/4 Euro</t>
  </si>
  <si>
    <t>Uponor Vario S Ст. колектор без витратомірів LS 10X3/4 Euro</t>
  </si>
  <si>
    <t>Uponor Vario S Ст. колектор без витратомірів LS 11X3/4 Euro</t>
  </si>
  <si>
    <t>Uponor Vario S Ст. колектор без витратомірів LS 12x3/4 Euro</t>
  </si>
  <si>
    <t>Uponor Vario S Ст. колектор без витратомірів LS 13x3/4 Euro</t>
  </si>
  <si>
    <t>Uponor Vario S Ст. колектор без витратомірів LS 14x3/4 Euro</t>
  </si>
  <si>
    <t>Uponor Vario S Ст. колектор без витратомірів LS 15X3/4 Euro</t>
  </si>
  <si>
    <t>Uponor Vario S Ст. колектор без витратомірів LS 16X3/4 Euro</t>
  </si>
  <si>
    <t>Uponor Vario S Сервопривід для стал. колекторів NC 24V FT30x1,5</t>
  </si>
  <si>
    <t>Uponor Vario Cabinets</t>
  </si>
  <si>
    <t>Uponor Fluvia</t>
  </si>
  <si>
    <t>Uponor Ecoflex VIP Thermo</t>
  </si>
  <si>
    <t>Uponor Ecoflex VIP Thermo Труба в бухті 6 бар Single 40X3,7/140</t>
  </si>
  <si>
    <t>Uponor Ecoflex VIP Thermo Труба в бухті 6 бар Single 50X4,6/140</t>
  </si>
  <si>
    <t>Uponor Ecoflex VIP Thermo Труба в бухті 6 бар Single 63X5,8/140</t>
  </si>
  <si>
    <t>Uponor Ecoflex VIP Thermo Труба в бухті 6 бар Single 75X6,8/140</t>
  </si>
  <si>
    <t>Uponor Ecoflex VIP Thermo Труба в бухті 6 бар Single 90X8,2/175</t>
  </si>
  <si>
    <t>Uponor Ecoflex VIP Thermo Труба в бухті 6 бар Single 110X10,0/175</t>
  </si>
  <si>
    <t>Uponor Ecoflex VIP Thermo Труба в бухті 6 бар Single 125X11,4/200</t>
  </si>
  <si>
    <t>Uponor Ecoflex VIP Thermo Труба в бухті 6 бар Twin 2x25x2,3/140</t>
  </si>
  <si>
    <t>Uponor Ecoflex VIP Thermo Труба в бухті 6 бар Twin 2x32x2,9/140</t>
  </si>
  <si>
    <t>Uponor Ecoflex VIP Thermo Труба в бухті 6 бар Twin 2x40x3,7 /175</t>
  </si>
  <si>
    <t>Uponor Ecoflex VIP Thermo Труба в бухті 6 бар Twin 2x50x4,6/175</t>
  </si>
  <si>
    <t>Uponor Ecoflex VIP Thermo Труба в бухті 6 бар Twin 2x63x5,8/200</t>
  </si>
  <si>
    <t>Uponor Ecoflex VIP Thermo Труба в бухті 6 бар Twin 2x75x6,8/250</t>
  </si>
  <si>
    <t>Uponor Ecoflex Thermo</t>
  </si>
  <si>
    <t>Uponor Ecoflex Thermo Труба в бухті 6 бар Single 32x2,9/140</t>
  </si>
  <si>
    <t>Uponor Ecoflex Thermo Труба в бухті 6 бар Single 40x3,7/175</t>
  </si>
  <si>
    <t>Uponor Ecoflex Thermo Труба в бухті 6 бар Single 50x4,6/175</t>
  </si>
  <si>
    <t>Uponor Ecoflex Thermo Труба в бухті 6 бар Single 63x5,8/175</t>
  </si>
  <si>
    <t>Uponor Ecoflex Thermo Труба в бухті 6 бар Single 75x6,8/200</t>
  </si>
  <si>
    <t>Uponor Ecoflex Thermo Труба в бухті 6 бар Single 90x8,2/200</t>
  </si>
  <si>
    <t>Uponor Ecoflex Thermo Труба в бухті 6 бар Single 110x10,0/200</t>
  </si>
  <si>
    <t>Uponor Ecoflex Thermo Труба в бухті 6 бар Single 125x11,4/250</t>
  </si>
  <si>
    <t>Uponor Ecoflex Thermo Труба в бухті Single PN10 40x5,5/175</t>
  </si>
  <si>
    <t>Uponor Ecoflex Thermo Труба в бухті Single PN10 50x6,9/175</t>
  </si>
  <si>
    <t>Uponor Ecoflex Thermo Труба в бухті Single PN10 63x8,6/175</t>
  </si>
  <si>
    <t>Uponor Ecoflex Thermo Труба в бухті Single PN10 75x10,3/200</t>
  </si>
  <si>
    <t>Uponor Ecoflex Thermo Труба в бухті Single PN10 90x12,3/200</t>
  </si>
  <si>
    <t>Uponor Ecoflex Thermo Труба в бухті Single PN10 110x15,1/200</t>
  </si>
  <si>
    <t>Uponor Ecoflex Thermo Труба в бухті 6 бар Twin 2x25x2,3/175</t>
  </si>
  <si>
    <t>Uponor Ecoflex Thermo Труба в бухті 6 бар Twin 2x32x2,9/175</t>
  </si>
  <si>
    <t>Uponor Ecoflex Thermo Труба в бухті 6 бар Twin 2x40x3,7 /175</t>
  </si>
  <si>
    <t>Uponor Ecoflex Thermo Труба в бухті 6 бар Twin 2x50x4,6/200</t>
  </si>
  <si>
    <t>Uponor Ecoflex Thermo Труба в бухті 6 бар Twin 2x63x5,8/200</t>
  </si>
  <si>
    <t>Uponor Ecoflex Thermo Труба в бухті 6 бар Mini 25x2,3/68</t>
  </si>
  <si>
    <t>Uponor Ecoflex Thermo Труба в бухті 6 бар Mini 32x2,9/68</t>
  </si>
  <si>
    <t>Uponor Ecoflex Thermo Труба для теплового насоса Twin HP 2x32x2,9-2x32x3,5/140</t>
  </si>
  <si>
    <t>Uponor Ecoflex Thermo Труба для теплового насоса Twin HP 2x40x3,7-2x32x3,5/175</t>
  </si>
  <si>
    <t>Uponor Ecoflex Varia</t>
  </si>
  <si>
    <t>Uponor Ecoflex Varia Труба в бухті 6 бар Single 25x2,3 /90</t>
  </si>
  <si>
    <t>Uponor Ecoflex Varia Труба в бухті 6 бар Single 32x2,9 /90</t>
  </si>
  <si>
    <t>Uponor Ecoflex Varia Труба в бухті 6 бар Single 40x3,7 /140</t>
  </si>
  <si>
    <t>Uponor Ecoflex Varia Труба в бухті 6 бар Single 50x4,6 /140</t>
  </si>
  <si>
    <t>Uponor Ecoflex Varia Труба в бухті 6 бар Single 63x5,8 /140</t>
  </si>
  <si>
    <t>Uponor Ecoflex Varia Труба в бухті 6 бар Single 75x6,8 /175</t>
  </si>
  <si>
    <t>Uponor Ecoflex Varia Труба в бухті 6 бар Single 90x8,2 /175</t>
  </si>
  <si>
    <t>Uponor Ecoflex Varia Труба в бухті 6 бар Single 110x10,0 /175</t>
  </si>
  <si>
    <t>Uponor Ecoflex Varia Труба в бухті 6 бар Single 125x11,4/200</t>
  </si>
  <si>
    <t>Uponor Ecoflex Varia Труба в бухті 6 бар Twin 2x25x2,3/140</t>
  </si>
  <si>
    <t>Uponor Ecoflex Varia Труба в бухті 6 бар Twin 2x32x2,9/140</t>
  </si>
  <si>
    <t>Uponor Ecoflex Varia Труба в бухті 6 бар Twin 2x40x3,7/140</t>
  </si>
  <si>
    <t>Uponor Ecoflex Varia Труба в бухті 6 бар Twin 2x50x4,6/175</t>
  </si>
  <si>
    <t>Uponor Ecoflex VIP Aqua</t>
  </si>
  <si>
    <t>Uponor Ecoflex VIP Aqua Труба в бухті 10 бар Single 40x5,5/140</t>
  </si>
  <si>
    <t>Uponor Ecoflex VIP Aqua Труба в бухті 10 бар Single 50x6,9/140</t>
  </si>
  <si>
    <t>Uponor Ecoflex VIP Aqua Труба в бухті 10 бар Single 63x8,6/140</t>
  </si>
  <si>
    <t>Uponor Ecoflex VIP Aqua Труба в бухті 10 бар Single 75x10,3/140</t>
  </si>
  <si>
    <t>Uponor Ecoflex VIP Aqua Труба в бухті 10 бар Single 90x12,3/175</t>
  </si>
  <si>
    <t>Uponor Ecoflex VIP Aqua Труба в бухті 10 бар Single 110x15,1/175</t>
  </si>
  <si>
    <t>Uponor Ecoflex VIP Aqua Труба в бухті 10 бар Twin 25x3,5-20x2,8/140</t>
  </si>
  <si>
    <t>Uponor Ecoflex VIP Aqua Труба в бухті 10 бар Twin 32x4,4-20x2,8/140</t>
  </si>
  <si>
    <t>Uponor Ecoflex VIP Aqua Труба в бухті 10 бар Twin 40x5,5-25x3,5/140</t>
  </si>
  <si>
    <t>Uponor Ecoflex VIP Aqua Труба в бухті 10 бар Twin 50x6,9-32x4,4/175</t>
  </si>
  <si>
    <t>Uponor Ecoflex Aqua</t>
  </si>
  <si>
    <t>Uponor Ecoflex Aqua Труба в бухті 10 бар Single 25x3,5/140</t>
  </si>
  <si>
    <t>Uponor Ecoflex Aqua Труба в бухті 10 бар Twin 25x3,5-25x3,5/175</t>
  </si>
  <si>
    <t>Uponor Ecoflex Aqua Труба в бухті 10 бар Twin 32x4,4-25x3,5/175</t>
  </si>
  <si>
    <t>Uponor Ecoflex Quattro</t>
  </si>
  <si>
    <t>Uponor Ecoflex Supra</t>
  </si>
  <si>
    <t>Uponor Ecoflex Supra PLUS</t>
  </si>
  <si>
    <t>Uponor Ecoflex</t>
  </si>
  <si>
    <t>Uponor Ecoflex Гумовий кінцевик Single 25+32+40/68</t>
  </si>
  <si>
    <t>Uponor Ecoflex Гумовий кінцевик Single 25+32+40/90</t>
  </si>
  <si>
    <t>Uponor Ecoflex Гумовий кінцевик Single 25+28+32/140</t>
  </si>
  <si>
    <t>Uponor Ecoflex Гумовий кінцевик Single 32+40+50/90</t>
  </si>
  <si>
    <t>Uponor Ecoflex Гумовий кінцевик Single 32+40+50/175</t>
  </si>
  <si>
    <t>Uponor Ecoflex Гумовий кінцевик Single 40+50+63/140</t>
  </si>
  <si>
    <t>Uponor Ecoflex Гумовий кінцевик Single 63+75+90/140</t>
  </si>
  <si>
    <t>Uponor Ecoflex Гумовий кінцевик Single 63+75/175</t>
  </si>
  <si>
    <t>Uponor Ecoflex Гумовий кінцевик Single 75+90+110/200</t>
  </si>
  <si>
    <t>Uponor Ecoflex Гумовий кінцевик Single 90+110/175</t>
  </si>
  <si>
    <t>Uponor Ecoflex Гумовий кінцевик Single 125/200</t>
  </si>
  <si>
    <t>Uponor Ecoflex Гумовий кінцевик Twin 18-22+25+28/25-28+32+40/175</t>
  </si>
  <si>
    <t>Uponor Ecoflex Гумовий кінцевик Twin 18-22+25-28+32/140</t>
  </si>
  <si>
    <t>Uponor Ecoflex Гумовий кінцевик Twin 25+32+40/140</t>
  </si>
  <si>
    <t>Uponor Ecoflex Гумовий кінцевик Twin 25+32+40/175</t>
  </si>
  <si>
    <t>Uponor Ecoflex Гумовий кінцевик Twin 25+32+50/175</t>
  </si>
  <si>
    <t>Uponor Ecoflex Гумовий кінцевик Twin 40+50+63/200</t>
  </si>
  <si>
    <t>Uponor Ecoflex Гумовий кінцевик Twin 75+90/250</t>
  </si>
  <si>
    <t>Uponor Ecoflex Гумовий кінцевик Quattro 18-28+32+40/200</t>
  </si>
  <si>
    <t>Uponor Ecoflex Комплект для ізоляції трійника 140/90/68</t>
  </si>
  <si>
    <t>Uponor Ecoflex Комплект для ізоляції трійника 200/175/140</t>
  </si>
  <si>
    <t>Uponor Ecoflex Комплект для ізоляції коліна 200/175/140</t>
  </si>
  <si>
    <t>Uponor Ecoflex Комплект для ізоляції муфти 200/175/140</t>
  </si>
  <si>
    <t>Uponor Ecoflex Кільце редукційне 200/68</t>
  </si>
  <si>
    <t>Uponor Ecoflex Кільце редукційне 200/90</t>
  </si>
  <si>
    <t>Uponor Ecoflex Комплект з'єднання 140</t>
  </si>
  <si>
    <t>Uponor Ecoflex Комплект з'єднання 175+200</t>
  </si>
  <si>
    <t>Uponor Ecoflex Комплект з'єднання 250</t>
  </si>
  <si>
    <t>Uponor Combi Port</t>
  </si>
  <si>
    <t>Інструмент</t>
  </si>
  <si>
    <t>ПРАЙС-ЛИСТ 2023</t>
  </si>
  <si>
    <t>Дійсний з 01.02.2023</t>
  </si>
  <si>
    <t>Uponor Uni Pipe PLUS Труба відрізками S 16x2,0 5m</t>
  </si>
  <si>
    <t>Uponor Uni Pipe PLUS Труба відрізками S 20x2,25 5m</t>
  </si>
  <si>
    <t>Uponor Uni Pipe PLUS Труба відрізками S 25x2,5 5m</t>
  </si>
  <si>
    <t>Uponor Uni Pipe PLUS Труба відрізками S 32x3,0 5m</t>
  </si>
  <si>
    <t>Uponor Uni Pipe PLUS Безшовна труба біла 16x2,0 100m</t>
  </si>
  <si>
    <t>Uponor Uni Pipe PLUS Безшовна труба біла 16x2,0 200m</t>
  </si>
  <si>
    <t>Uponor Uni Pipe PLUS Безшовна труба біла 16x2,0 500m</t>
  </si>
  <si>
    <t>Uponor Uni Pipe PLUS Безшовна труба біла 20x2,25 100m</t>
  </si>
  <si>
    <t>Uponor Uni Pipe PLUS Безшовна труба біла 25x2,5 50m</t>
  </si>
  <si>
    <t>Uponor Uni Pipe PLUS Безшовна труба біла 32x3,0 50m</t>
  </si>
  <si>
    <r>
      <t xml:space="preserve">Uponor </t>
    </r>
    <r>
      <rPr>
        <sz val="8"/>
        <rFont val="Century Gothic"/>
        <family val="2"/>
      </rPr>
      <t xml:space="preserve">MLC </t>
    </r>
    <r>
      <rPr>
        <sz val="8"/>
        <color rgb="FF333F48"/>
        <rFont val="Century Gothic"/>
        <family val="2"/>
      </rPr>
      <t>Труба відрізками S 40x4,0 5m</t>
    </r>
  </si>
  <si>
    <t>Uponor MLC Труба відрізками S 50x4,5 5m</t>
  </si>
  <si>
    <t>Uponor MLC Труба відрізками S 63x6,0 5m</t>
  </si>
  <si>
    <t>Uponor MLC Труба відрізками S 75x7,5 5m</t>
  </si>
  <si>
    <t>Uponor MLC Труба відрізками S 90x8,5 5m</t>
  </si>
  <si>
    <t>Uponor MLC Труба відрізками S 110x10,0 5m</t>
  </si>
  <si>
    <t>Uponor MLC Труба в бухті 14x2,0 200m</t>
  </si>
  <si>
    <t>Uponor Teck Одинарна дюбель-скоба 32 60mm</t>
  </si>
  <si>
    <t>Uponor Teck Одинарна дюбель-скоба 32 80mm</t>
  </si>
  <si>
    <t>Uponor Teck Подвійна дюбель-скоба 32 60mm</t>
  </si>
  <si>
    <t>Uponor Teck Подвійна дюбель-скоба 32 80mm</t>
  </si>
  <si>
    <t>Uponor Teck Одинарна дюбель-скоба 75</t>
  </si>
  <si>
    <t>Uponor Teck Одинарна дюбель-скоба 90</t>
  </si>
  <si>
    <t>Uponor Teck Подвійна дюбель-скоба 75</t>
  </si>
  <si>
    <t>Uponor Teck Подвійна дюбель-скоба 90</t>
  </si>
  <si>
    <t>Uponor MLC Кліпса одинарна, біла 16</t>
  </si>
  <si>
    <t>Uponor MLC Кліпса одинарна, біла 20</t>
  </si>
  <si>
    <t>Uponor MLC Кліпса одинарна, біла 25</t>
  </si>
  <si>
    <t>Uponor MLC Кліпса одинарна, біла 32</t>
  </si>
  <si>
    <t>Uponor Uni Pipe Plus Кліпса одинарна 16</t>
  </si>
  <si>
    <t>Uponor Uni Pipe Plus Кліпса одинарна 20</t>
  </si>
  <si>
    <t>Uponor Uni Pipe Plus Кліпса одинарна 25</t>
  </si>
  <si>
    <t>Uponor Uni Pipe Plus Кліпса одинарна 32</t>
  </si>
  <si>
    <t>Uponor Uni Pipe Plus Кліпса одинарна 40</t>
  </si>
  <si>
    <t>Uponor Uni Pipe Plus Кліпса одинарна 50</t>
  </si>
  <si>
    <t>Uponor Uni Pipe Plus Кліпса подвійна 16</t>
  </si>
  <si>
    <t>Uponor Uni Pipe Plus Кліпса подвійна 20</t>
  </si>
  <si>
    <t>Uponor Uni Pipe Plus Кліпса подвійна 25</t>
  </si>
  <si>
    <t>Uponor S-Press PLUS Коліно 90° PPSU 16-16</t>
  </si>
  <si>
    <t>Uponor S-Press PLUS Коліно 90° PPSU 20-20</t>
  </si>
  <si>
    <t>Uponor S-Press PLUS Коліно 90° PPSU 25-25</t>
  </si>
  <si>
    <t>Uponor S-Press PLUS Коліно 90° PPSU 32-32</t>
  </si>
  <si>
    <t>Uponor S-Press Коліно 90° PPSU 40-40</t>
  </si>
  <si>
    <t>Uponor S-Press Коліно 90° PPSU 50-50</t>
  </si>
  <si>
    <t>Uponor S-Press Коліно 90° PPSU 63-63</t>
  </si>
  <si>
    <t>Uponor S-Press Коліно 90° PPSU 75-75</t>
  </si>
  <si>
    <t>Uponor S-Press Коліно 45° PPSU 40-40</t>
  </si>
  <si>
    <t>Uponor S-Press Коліно 45° PPSU 50-50</t>
  </si>
  <si>
    <t>Uponor S-Press Коліно 45° PPSU 63-63</t>
  </si>
  <si>
    <t>Uponor S-Press Коліно 45° PPSU 75-75</t>
  </si>
  <si>
    <t>Uponor S-Press PLUS Муфта PPSU 16-16</t>
  </si>
  <si>
    <t>Uponor S-Press PLUS Муфта PPSU 20-20</t>
  </si>
  <si>
    <t>Uponor S-Press PLUS Муфта PPSU 25-25</t>
  </si>
  <si>
    <t>Uponor S-Press PLUS Муфта PPSU 32-32</t>
  </si>
  <si>
    <t>Uponor S-Press Муфта PPSU 40-40</t>
  </si>
  <si>
    <t>Uponor S-Press Муфта PPSU 50-50</t>
  </si>
  <si>
    <t>Uponor S-Press Муфта PPSU 63-63</t>
  </si>
  <si>
    <t>Uponor S-Press Муфта PPSU 75-75</t>
  </si>
  <si>
    <t>Uponor S-Press PLUS Редукція PPSU 20-16</t>
  </si>
  <si>
    <t>Uponor S-Press PLUS Редукція PPSU 25-16</t>
  </si>
  <si>
    <t>Uponor S-Press PLUS Редукція PPSU 25-20</t>
  </si>
  <si>
    <t>Uponor S-Press PLUS Редукція PPSU 32-25</t>
  </si>
  <si>
    <t>Uponor S-Press Редукція PPSU 40-25</t>
  </si>
  <si>
    <t>Uponor S-Press Редукція PPSU 40-32</t>
  </si>
  <si>
    <t>Uponor S-Press Редукція PPSU 50-32</t>
  </si>
  <si>
    <t>Uponor S-Press Редукція композитна PPSU 50-40</t>
  </si>
  <si>
    <t>Uponor S-Press Редукція композитна PPSU 63-40</t>
  </si>
  <si>
    <t>Uponor S-Press Редукція композитна PPSU 63-50</t>
  </si>
  <si>
    <t>Uponor S-Press Редукція композитна PPSU 75-50</t>
  </si>
  <si>
    <t>Uponor S-Press Редукція композитна PPSU 75-63</t>
  </si>
  <si>
    <t>Uponor S-Press PLUS Трійник рівнопрохідний PPSU 16-16-16</t>
  </si>
  <si>
    <t>Uponor S-Press PLUS Трійник рівнопрохідний PPSU 20-20-20</t>
  </si>
  <si>
    <t>Uponor S-Press PLUS Трійник рівнопрохідний PPSU 25-25-25</t>
  </si>
  <si>
    <t>Uponor S-Press PLUS Трійник рівнопрохідний PPSU 32-32-32</t>
  </si>
  <si>
    <t>Uponor S-Press Трійник рівнопрохідний PPSU 40-40-40</t>
  </si>
  <si>
    <t>Uponor S-Press Трійник рівнопрохідний PPSU 50-50-50</t>
  </si>
  <si>
    <t>Uponor S-Press Трійник рівнопрохідний PPSU 63-63-63</t>
  </si>
  <si>
    <t>Uponor S-Press Трійник рівнопрохідний PPSU 75-75-75</t>
  </si>
  <si>
    <t>Uponor S-Press PLUS Трійник редукційний PPSU 16-20-16</t>
  </si>
  <si>
    <t>Uponor S-Press PLUS Трійник редукційний PPSU 20-16-16</t>
  </si>
  <si>
    <t>Uponor S-Press PLUS Трійник редукційний PPSU 20-16-20</t>
  </si>
  <si>
    <t>Uponor S-Press PLUS Трійник редукційний PPSU 20-20-16</t>
  </si>
  <si>
    <t>Uponor S-Press PLUS Трійник редукційний PPSU 20-25-20</t>
  </si>
  <si>
    <t>Uponor S-Press PLUS Трійник редукційний PPSU 25-16-16</t>
  </si>
  <si>
    <t>Uponor S-Press PLUS Трійник редукційний PPSU 25-16-20</t>
  </si>
  <si>
    <t>Uponor S-Press PLUS Трійник редукційний PPSU 25-16-25</t>
  </si>
  <si>
    <t>Uponor S-Press PLUS Трійник редукційний PPSU 25-20-20</t>
  </si>
  <si>
    <t>Uponor S-Press PLUS Трійник редукційний PPSU 25-20-25</t>
  </si>
  <si>
    <t>Uponor S-Press PLUS Трійник редукційний PPSU 32-16-32</t>
  </si>
  <si>
    <t>Uponor S-Press PLUS Трійник редукційний PPSU 32-20-32</t>
  </si>
  <si>
    <t>Uponor S-Press PLUS Трійник редукційний PPSU 32-25-25</t>
  </si>
  <si>
    <t>Uponor S-Press PLUS Трійник редукційний PPSU 32-25-32</t>
  </si>
  <si>
    <t>Uponor S-Press Трійник редукційний PPSU 40-20-40</t>
  </si>
  <si>
    <t>Uponor S-Press Трійник редукційний PPSU 40-25-32</t>
  </si>
  <si>
    <t>Uponor S-Press Трійник редукційний PPSU 40-25-40</t>
  </si>
  <si>
    <t>Uponor S-Press Трійник редукційний PPSU 40-32-32</t>
  </si>
  <si>
    <t>Uponor S-Press Трійник редукційний PPSU 40-32-40</t>
  </si>
  <si>
    <t>Uponor S-Press Трійник редукційний PPSU 50-25-40</t>
  </si>
  <si>
    <t>Uponor S-Press Трійник редукційний PPSU 50-25-50</t>
  </si>
  <si>
    <t>Uponor S-Press Трійник редукційний PPSU 50-32-50</t>
  </si>
  <si>
    <t>Uponor S-Press Трійник редукційний PPSU 50-40-50</t>
  </si>
  <si>
    <t>Uponor S-Press Трійник редукційний PPSU 63-25-63</t>
  </si>
  <si>
    <t>Uponor S-Press Трійник редукційний PPSU 63-32-63</t>
  </si>
  <si>
    <t>Uponor S-Press Трійник редукційний PPSU 63-40-63</t>
  </si>
  <si>
    <t>Uponor S-Press Трійник редукційний PPSU 75-32-75</t>
  </si>
  <si>
    <t>Uponor S-Press Трійник редукційний PPSU 75-40-75</t>
  </si>
  <si>
    <t>Uponor S-Press Трійник редукційний PPSU 75-50-75</t>
  </si>
  <si>
    <t>Uponor S-Press PLUS Штуцер зовн. різьба 16-R3/8"MT</t>
  </si>
  <si>
    <t>Uponor S-Press PLUS Штуцер зовн. різьба 16-R1/2"MT</t>
  </si>
  <si>
    <t>Uponor S-Press PLUS Штуцер зовн. різьба 16-R3/4"MT</t>
  </si>
  <si>
    <t>Uponor S-Press PLUS Штуцер зовн. різьба 20-R1/2"MT</t>
  </si>
  <si>
    <t>Uponor S-Press PLUS Штуцер зовн. різьба 20-R3/4"MT</t>
  </si>
  <si>
    <t>Uponor S-Press PLUS Штуцер зовн. різьба 20-R1"MT</t>
  </si>
  <si>
    <t>Uponor S-Press PLUS Штуцер зовн. різьба 25-R3/4"MT</t>
  </si>
  <si>
    <t>Uponor S-Press PLUS Штуцер зовн. різьба 25-R1"MT</t>
  </si>
  <si>
    <t>Uponor S-Press PLUS Штуцер зовн. різьба 32-R1"MT</t>
  </si>
  <si>
    <t>Uponor S-Press PLUS Штуцер зовн. різьба 32-R1 1/4"MT</t>
  </si>
  <si>
    <t>Uponor S-Press PLUS Штуцер зовн. різьба 16-G3/8"MT</t>
  </si>
  <si>
    <t>Uponor S-Press Штуцер зовн. різьба 40-R1 1/4"MT</t>
  </si>
  <si>
    <t>Uponor S-Press Штуцер зовн. різьба 40-R1 1/2"MT</t>
  </si>
  <si>
    <t>Uponor S-Press Штуцер зовн. різьба 50-R1 1/2"MT</t>
  </si>
  <si>
    <t>Uponor S-Press Штуцер зовн. різьба 50-R2"MT</t>
  </si>
  <si>
    <t>Uponor S-Press Штуцер зовн. різьба 63-R2"MT</t>
  </si>
  <si>
    <t>Uponor S-Press Штуцер зовн. різьба 75-R2 1/2"MT</t>
  </si>
  <si>
    <t>Uponor S-Press PLUS Штуцер вн. різьба 16-Rp1/2"FT</t>
  </si>
  <si>
    <t>Uponor S-Press PLUS Штуцер вн. різьба 20-Rp1/2"FT</t>
  </si>
  <si>
    <t>Uponor S-Press PLUS Штуцер вн. різьба 20-Rp3/4"FT</t>
  </si>
  <si>
    <t>Uponor S-Press PLUS Штуцер вн. різьба 20-Rp1"FT</t>
  </si>
  <si>
    <t>Uponor S-Press PLUS Штуцер вн. різьба 25-Rp3/4"FT</t>
  </si>
  <si>
    <t>Uponor S-Press PLUS Штуцер вн. різьба 25-Rp1"FT</t>
  </si>
  <si>
    <t>Uponor S-Press PLUS Штуцер вн. різьба 32-Rp1"FT</t>
  </si>
  <si>
    <t>Uponor S-Press PLUS Штуцер вн. різьба 32-Rp1 1/4"FT</t>
  </si>
  <si>
    <t>Uponor S-Press Штуцер вн. різьба 40-Rp1 1/4"FT</t>
  </si>
  <si>
    <t>Uponor S-Press Штуцер вн. різьба 40-Rp1 1/2"FT</t>
  </si>
  <si>
    <t>Uponor S-Press Штуцер вн. різьба 50-Rp1 1/2"FT</t>
  </si>
  <si>
    <t>Uponor S-Press PLUS Коліно 90° латунне 16-16</t>
  </si>
  <si>
    <t>Uponor S-Press PLUS Коліно 90° латунне 20-20</t>
  </si>
  <si>
    <t>Uponor S-Press PLUS Коліно 90° латунне 25-25</t>
  </si>
  <si>
    <t>Uponor S-Press PLUS Коліно 90° латунне 32-32</t>
  </si>
  <si>
    <t>Uponor S-Press Коліно 90° латунне 40-40</t>
  </si>
  <si>
    <t>Uponor S-Press Коліно 90° латунне 50-50</t>
  </si>
  <si>
    <t>Uponor S-Press PLUS Коліно радіальне 16-16</t>
  </si>
  <si>
    <t>Uponor S-Press PLUS Коліно радіальне 20-20</t>
  </si>
  <si>
    <t>Uponor S-Press PLUS Коліно радіальне 25-25</t>
  </si>
  <si>
    <t>Uponor S-Press PLUS Коліно радіальне 32-32</t>
  </si>
  <si>
    <t>Uponor S-Press PLUS Коліно зовн. різьба 16-R3/8"MT</t>
  </si>
  <si>
    <t>Uponor S-Press PLUS Коліно зовн. різьба 16-R1/2"MT</t>
  </si>
  <si>
    <t>Uponor S-Press PLUS Коліно зовн. різьба 20-R1/2"MT</t>
  </si>
  <si>
    <t>Uponor S-Press PLUS Коліно зовн. різьба 20-R3/4"MT</t>
  </si>
  <si>
    <t>Uponor S-Press PLUS Коліно зовн. різьба 25-R3/4"MT</t>
  </si>
  <si>
    <t>Uponor S-Press PLUS Коліно зовн. різьба 25-R1"MT</t>
  </si>
  <si>
    <t>Uponor S-Press PLUS Коліно зовн. різьба 32-R1"MT</t>
  </si>
  <si>
    <t>Uponor S-Press Коліно зовн. різьба 40-R1 1/4"MT</t>
  </si>
  <si>
    <t>Uponor S-Press PLUS Коліно під мідь 16-G3/8"MT/10CU</t>
  </si>
  <si>
    <t>Uponor S-Press PLUS Коліно вн. різьба 16-Rp1/2"FT</t>
  </si>
  <si>
    <t>Uponor S-Press PLUS Коліно вн. різьба 20-Rp1/2"FT</t>
  </si>
  <si>
    <t>Uponor S-Press PLUS Коліно вн. різьба 20-Rp3/4"FT</t>
  </si>
  <si>
    <t>Uponor S-Press PLUS Коліно вн. різьба 25-Rp3/4"FT</t>
  </si>
  <si>
    <t>Uponor S-Press PLUS Коліно вн. різьба 25-Rp1"FT</t>
  </si>
  <si>
    <t>Uponor S-Press PLUS Коліно вн. різьба 32-Rp1"FT</t>
  </si>
  <si>
    <t>Uponor S-Press Коліно вн. різьба 40-Rp1 1/2"FT</t>
  </si>
  <si>
    <t>Uponor S-Press Коліно вн. різьба 50-Rp1 1/2"FT</t>
  </si>
  <si>
    <t>Uponor S-Press PLUS Коліно 45° латунне 25-25</t>
  </si>
  <si>
    <t>Uponor S-Press PLUS Коліно 45° латунне 32-32</t>
  </si>
  <si>
    <t>Uponor S-Press Коліно 45° латунне 40-40</t>
  </si>
  <si>
    <t>Uponor S-Press Коліно 45° латунне 50-50</t>
  </si>
  <si>
    <t>Uponor S-Press PLUS Муфта латунна 16-16</t>
  </si>
  <si>
    <t>Uponor S-Press PLUS Муфта латунна 20-20</t>
  </si>
  <si>
    <t>Uponor S-Press PLUS Муфта латунна 25-25</t>
  </si>
  <si>
    <t>Uponor S-Press PLUS Муфта латунна 32-32</t>
  </si>
  <si>
    <t>Uponor S-Press PLUS Ремонтна муфта 16-16</t>
  </si>
  <si>
    <t>Uponor S-Press PLUS Ремонтна муфта 20-20</t>
  </si>
  <si>
    <t>Uponor S-Press PLUS Ремонтна муфта 25-25</t>
  </si>
  <si>
    <t>Uponor S-Press PLUS Ремонтна муфта 32-32</t>
  </si>
  <si>
    <t>Uponor S-Press Ремонтна муфта 40-40</t>
  </si>
  <si>
    <t>Uponor S-Press Муфта латунна 40-40</t>
  </si>
  <si>
    <t>Uponor S-Press Муфта латунна 50-50</t>
  </si>
  <si>
    <t>Uponor S-Press PLUS Редукція латунна 20-16</t>
  </si>
  <si>
    <t>Uponor S-Press PLUS Редукція латунна 25-16</t>
  </si>
  <si>
    <t>Uponor S-Press PLUS Редукція латунна 25-20</t>
  </si>
  <si>
    <t>Uponor S-Press PLUS Редукція латунна 32-20</t>
  </si>
  <si>
    <t>Uponor S-Press PLUS Редукція латунна 32-25</t>
  </si>
  <si>
    <t>Uponor S-Press Редукція латунна 40-25</t>
  </si>
  <si>
    <t>Uponor S-Press Редукція латунна 40-32</t>
  </si>
  <si>
    <t>Uponor S-Press Редукція латунна 50-32</t>
  </si>
  <si>
    <t>Uponor S-Press Редукція латунна 50-40</t>
  </si>
  <si>
    <t>Uponor S-Press PLUS Трійник рівний латунний 16-16-16</t>
  </si>
  <si>
    <t>Uponor S-Press PLUS Трійник рівний латунний 20-20-20</t>
  </si>
  <si>
    <t>Uponor S-Press PLUS Трійник рівний латунний 25-25-25</t>
  </si>
  <si>
    <t>Uponor S-Press PLUS Трійник рівний латунний 32-32-32</t>
  </si>
  <si>
    <t>Uponor S-Press Трійник рівний латунний 40-40-40</t>
  </si>
  <si>
    <t>Uponor S-Press Трійник рівний латунний 50-50-50</t>
  </si>
  <si>
    <t>Uponor S-Press PLUS Трійник редукц. латунний 16-20-16</t>
  </si>
  <si>
    <t>Uponor S-Press PLUS Трійник редукц. латунний 20-16-16</t>
  </si>
  <si>
    <t>Uponor S-Press PLUS Трійник редукц. латунний 20-16-20</t>
  </si>
  <si>
    <t>Uponor S-Press PLUS Трійник редукц. латунний 20-20-16</t>
  </si>
  <si>
    <t>Uponor S-Press PLUS Трійник редукц. латунний 20-25-16</t>
  </si>
  <si>
    <t>Uponor S-Press PLUS Трійник редукц. латунний 20-25-20</t>
  </si>
  <si>
    <t>Uponor S-Press PLUS Трійник редукц. латунний 25-16-16</t>
  </si>
  <si>
    <t>Uponor S-Press PLUS Трійник редукц. латунний 25-16-20</t>
  </si>
  <si>
    <t>Uponor S-Press PLUS Трійник редукц. латунний 25-16-25</t>
  </si>
  <si>
    <t>Uponor S-Press PLUS Трійник редукц. латунний 25-20-16</t>
  </si>
  <si>
    <t>Uponor S-Press PLUS Трійник редукц. латунний 25-20-20</t>
  </si>
  <si>
    <t>Uponor S-Press PLUS Трійник редукц. латунний 25-20-25</t>
  </si>
  <si>
    <t>Uponor S-Press PLUS Трійник редукц. латунний 25-25-16</t>
  </si>
  <si>
    <t>Uponor S-Press PLUS Трійник редукц. латунний 25-32-25</t>
  </si>
  <si>
    <t>Uponor S-Press PLUS Трійник редукц. латунний 32-16-32</t>
  </si>
  <si>
    <t>Uponor S-Press PLUS Трійник редукц. латунний 32-20-32</t>
  </si>
  <si>
    <t>Uponor S-Press PLUS Трійник редукц. латунний 32-25-25</t>
  </si>
  <si>
    <t>Uponor S-Press PLUS Трійник редукц. латунний 32-25-32</t>
  </si>
  <si>
    <t>Uponor S-Press Трійник редукц. латунний 40-20-40</t>
  </si>
  <si>
    <t>Uponor S-Press Трійник редукц. латунний 40-25-32</t>
  </si>
  <si>
    <t>Uponor S-Press Трійник редукц. латунний 40-25-40</t>
  </si>
  <si>
    <t>Uponor S-Press Трійник редукц. латунний 40-32-32</t>
  </si>
  <si>
    <t>Uponor S-Press Трійник редукц. латунний 40-32-40</t>
  </si>
  <si>
    <t>Uponor S-Press Трійник редукц. латунний 50-25-40</t>
  </si>
  <si>
    <t>Uponor S-Press Трійник редукц. латунний 50-25-50</t>
  </si>
  <si>
    <t>Uponor S-Press Трійник редукц. латунний 50-32-50</t>
  </si>
  <si>
    <t>Uponor S-Press Трійник редукц. латунний 50-40-50</t>
  </si>
  <si>
    <t>Uponor S-Press PLUS Трійник зовн. різьба 16-R1/2"MT-16</t>
  </si>
  <si>
    <t>Uponor S-Press PLUS Трійник зовн. різьба 25-R3/4"MT-25</t>
  </si>
  <si>
    <t>Uponor S-Press PLUS Трійник зовн. різьба 32-R3/4"MT-32</t>
  </si>
  <si>
    <t>Uponor S-Press PLUS Трійник внутр. різьба 16-Rp1/2"FT-16</t>
  </si>
  <si>
    <t>Uponor S-Press PLUS Трійник внутр. різьба 20-Rp1/2"FT-20</t>
  </si>
  <si>
    <t>Uponor S-Press PLUS Трійник внутр. різьба 20-Rp3/4"FT-20</t>
  </si>
  <si>
    <t>Uponor S-Press PLUS Трійник внутр. різьба 25-Rp1/2"FT-25</t>
  </si>
  <si>
    <t>Uponor S-Press PLUS Трійник внутр. різьба 25-Rp3/4"FT-25</t>
  </si>
  <si>
    <t>Uponor S-Press PLUS Трійник внутр. різьба 32-Rp1/2"FT-32</t>
  </si>
  <si>
    <t>Uponor S-Press PLUS Трійник внутр. різьба 32-Rp3/4"FT-32</t>
  </si>
  <si>
    <t>Uponor S-Press Трійник внутр. різьба 40-Rp1/2"FT-40</t>
  </si>
  <si>
    <t>Uponor S-Press Трійник внутр. різьба 40-Rp3/4"FT-40</t>
  </si>
  <si>
    <t>Uponor S-Press Трійник внутр. різьба 50-Rp1"FT-50</t>
  </si>
  <si>
    <t>Uponor S-Press PLUS Штуцер з нак. гайкою 16-G3/8"SN</t>
  </si>
  <si>
    <t>Uponor S-Press PLUS Штуцер з нак. гайкою 16-G1/2"SN</t>
  </si>
  <si>
    <t>Uponor S-Press PLUS Штуцер з нак. гайкою 16-G3/4"SN</t>
  </si>
  <si>
    <t>Uponor S-Press PLUS Штуцер з нак. гайкою 20-G1/2"SN</t>
  </si>
  <si>
    <t>Uponor S-Press PLUS Штуцер з нак. гайкою 20-G3/4"SN</t>
  </si>
  <si>
    <t>Uponor S-Press PLUS Штуцер з нак. гайкою 25-G3/4"SN</t>
  </si>
  <si>
    <t>Uponor S-Press PLUS Штуцер з нак. гайкою 25-G1"SN</t>
  </si>
  <si>
    <t>Uponor S-Press PLUS Штуцер з нак. гайкою 25-G1 1/4 "SN</t>
  </si>
  <si>
    <t>Uponor S-Press PLUS Штуцер з нак. гайкою 32-G1"SN</t>
  </si>
  <si>
    <t>Uponor S-Press PLUS Штуцер з нак. гайкою 32-G1 1/4"SN</t>
  </si>
  <si>
    <t>Uponor S-Press Прес-з'єдн. з нак. гайкою 40-G1 1/2"SN</t>
  </si>
  <si>
    <t>Uponor S-Press Прес-з'єдн. з нак. гайкою 50-G1 3/4"SN</t>
  </si>
  <si>
    <t>Uponor S-Press Прес-з'єдн. з нак. гайкою 50-G2"SN</t>
  </si>
  <si>
    <t>Uponor S-Press PLUS Коліно з нак. гайкою 16-G3/8"SN</t>
  </si>
  <si>
    <t>Uponor S-Press PLUS Коліно з нак. гайкою 16-G1/2"SN</t>
  </si>
  <si>
    <t>Uponor S-Press PLUS Коліно з накидною гайкою 16-G3/4"SN</t>
  </si>
  <si>
    <t>Uponor S-Press PLUS Коліно з нак. гайкою 20-G1/2"SN</t>
  </si>
  <si>
    <t>Uponor S-Press PLUS Коліно з накидною гайкою 20-G3/4"SN</t>
  </si>
  <si>
    <t>Uponor S-Press PLUS Коліно з нак. гайкою 25-G3/4"SN</t>
  </si>
  <si>
    <t>Uponor S-Press PLUS Водорозетка M 16-Rp3/8"FT</t>
  </si>
  <si>
    <t>Uponor S-Press PLUS Водорозетка M 16-Rp1/2"FT</t>
  </si>
  <si>
    <t>Uponor S-Press PLUS Водорозетка M 20-Rp1/2"FT</t>
  </si>
  <si>
    <t>Uponor S-Press PLUS Водорозетка M 20-Rp3/4"FT</t>
  </si>
  <si>
    <t>Uponor S-Press PLUS Водорозетка M 25-Rp3/4"FT</t>
  </si>
  <si>
    <t>Uponor S-Press PLUS Водорозетка довга 16-Rp1/2"FT</t>
  </si>
  <si>
    <t>Uponor S-Press PLUS Водорозетка довга 20-Rp1/2"FT</t>
  </si>
  <si>
    <t>Uponor S-Press PLUS Водорозетка XL 16-Rp1/2"FT</t>
  </si>
  <si>
    <t>Uponor S-Press PLUS Водорозетка XL 20-Rp1/2"FT</t>
  </si>
  <si>
    <t>Uponor S-Press PLUS Водорозетка декоративна 16-Rp3/4"FT</t>
  </si>
  <si>
    <t>Uponor S-Press PLUS Водорозетка Gemini 16-Rp1/2"FT</t>
  </si>
  <si>
    <t>Uponor S-Press PLUS Водорозетка U-подіб. 16-Rp1/2"FT-16</t>
  </si>
  <si>
    <t>Uponor S-Press PLUS Водорозетка U-подіб. 20-Rp1/2"FT-20</t>
  </si>
  <si>
    <t>Uponor S-Press PLUS Водорозетка U-подіб. 20-Rp1/2"FT-16</t>
  </si>
  <si>
    <t>Uponor S-Press PLUS Водорозетка U-подіб. 16-Rp1/2"FT-20</t>
  </si>
  <si>
    <t>Uponor S-Press PLUS Водорозетка U-подіб. 25-Rp1/2"FT-25</t>
  </si>
  <si>
    <t>Uponor S-Press PLUS Водорозетка U-подіб. 25-Rp1/2"FT-20</t>
  </si>
  <si>
    <t>Uponor S-Press PLUS Водорозетка U-подіб. 20-Rp1/2"FT-25</t>
  </si>
  <si>
    <t>Uponor S-Press PLUS Водорозетка U-подіб. 16-16-R1/2"MT</t>
  </si>
  <si>
    <t>Uponor S-Press PLUS Водорозетка U-подіб. 20-20-R3/4"MT</t>
  </si>
  <si>
    <t>Uponor S-Press PLUS Водорозетка проточна 90° довга long 16-Rp1/2"FT-16</t>
  </si>
  <si>
    <t>Uponor S-Press PLUS Водорозетка проточна 90° довга long 20-Rp1/2"FT-20</t>
  </si>
  <si>
    <t>Uponor S-Press PLUS Кутовий адаптер UPS 16-Rp1/2"FT</t>
  </si>
  <si>
    <t>Uponor S-Press PLUS Трійник з н. гайкою Geberit 16-G1/2"FT-16</t>
  </si>
  <si>
    <t>Uponor S-Press PLUS Коліно з нак. гайкою Geberit 16-1/2"FT</t>
  </si>
  <si>
    <t>Uponor S-Press PLUS Заглушка 16</t>
  </si>
  <si>
    <t>Uponor S-Press PLUS Заглушка 20</t>
  </si>
  <si>
    <t>Uponor S-Press PLUS Заглушка 25</t>
  </si>
  <si>
    <t>Uponor S-Press PLUS Заглушка 32</t>
  </si>
  <si>
    <t>Uponor S-Press PLUS Штуцер для випробувань 16</t>
  </si>
  <si>
    <t>Uponor S-Press PLUS Штуцер для випробувань 20</t>
  </si>
  <si>
    <t>Uponor S-Press PLUS Штуцер для випробувань 25</t>
  </si>
  <si>
    <t>Uponor S-Press PLUS Штуцер для випробувань 32</t>
  </si>
  <si>
    <t>Uponor S-Press PLUS Штуцер для випробувань 40</t>
  </si>
  <si>
    <t>Uponor S-Press PLUS Шаблон змішувача 16-Rp1/2"FT c/c150mm</t>
  </si>
  <si>
    <t>Uponor S-Press PLUS Шаблон змішувача 16-Rp1/2"FT c/c80mm</t>
  </si>
  <si>
    <t>Uponor S-Press PLUS Водорозетка подвійна Gemini 16-Rp1/2"FT c/c120mm</t>
  </si>
  <si>
    <t>Uponor S-Press PLUS Водорозетка подвійна Gemini 16-Rp1/2"FT c/c150mm</t>
  </si>
  <si>
    <t>Uponor S-Press PLUS Коліно під мідь 16-15CU l=150mm</t>
  </si>
  <si>
    <t>Uponor S-Press PLUS Коліно під мідь 16-12CU l=150mm</t>
  </si>
  <si>
    <t>Uponor S-Press PLUS Водорозетка прихована 16-G1/2"FT</t>
  </si>
  <si>
    <t>Uponor S-Press PLUS Водорозетка LWC 16-Rp1/2"FT l=25</t>
  </si>
  <si>
    <t>Uponor S-Press PLUS Водорозетка LWC 16-Rp1/2"FT l=35</t>
  </si>
  <si>
    <t>Uponor S-Press PLUS Водорозетка U-подіб. LWC 16-Rp1/2"FT-16 l=25</t>
  </si>
  <si>
    <t>Uponor S-Press PLUS Водорозетка U-подіб. LWC 16-Rp1/2"FT-16 l=35</t>
  </si>
  <si>
    <t>Uponor S-Press PLUS Монтажна планка пряма 80/150mm</t>
  </si>
  <si>
    <t>Uponor S-Press PLUS Монтажна планка кутова 80/150mm</t>
  </si>
  <si>
    <t>Uponor Smart Aqua Кут монтажний одинарн.</t>
  </si>
  <si>
    <t>Uponor Smart Aqua Монтажний трак 2m</t>
  </si>
  <si>
    <t>Uponor S-Press Перехід на метал (INOX, мідь) ВН, профіль M 16-15CU-SST</t>
  </si>
  <si>
    <t>Uponor S-Press Перехід на метал (INOX, мідь) ВН, профіль M 20-22CU-SST</t>
  </si>
  <si>
    <t>Uponor S-Press Перехід на метал (INOX, мідь) ВН, профіль M 25-22CU-SST</t>
  </si>
  <si>
    <t>Uponor S-Press Перехід на метал (INOX, мідь) ВН, профіль M 32-28CU-SST</t>
  </si>
  <si>
    <t>Uponor S-Press PLUS Перехід на метал (INOX, мідь) ЗН 16-10CU</t>
  </si>
  <si>
    <t>Uponor S-Press PLUS Перехід на метал (INOX, мідь) ЗН 16-12CU</t>
  </si>
  <si>
    <t>Uponor S-Press PLUS Перехід на метал (INOX, мідь) ЗН 16-15CU</t>
  </si>
  <si>
    <t>Uponor S-Press PLUS Перехід на метал (INOX, мідь) ЗН 20-15CU</t>
  </si>
  <si>
    <t>Uponor S-Press PLUS Перехід на метал (INOX, мідь) ЗН 20-18CU</t>
  </si>
  <si>
    <t>Uponor S-Press PLUS Перехід на метал (INOX, мідь) ЗН 20-22CU</t>
  </si>
  <si>
    <t>Uponor S-Press PLUS Перехід на метал (INOX, мідь) ЗН 25-22CU</t>
  </si>
  <si>
    <t>Uponor S-Press PLUS Перехід на метал (INOX, мідь) ЗН 25-28CU</t>
  </si>
  <si>
    <t>Uponor S-Press PLUS Перехід на метал (INOX, мідь) ЗН 32-28CU</t>
  </si>
  <si>
    <t>Uponor S-Press PLUS Кран з дренажем 20</t>
  </si>
  <si>
    <t>Uponor S-Press PLUS Кран з дренажем 25</t>
  </si>
  <si>
    <t>Uponor S-Press Plus Кран з дренажем 32</t>
  </si>
  <si>
    <t>Uponor S-Press Кран з дренажем 40</t>
  </si>
  <si>
    <t>Uponor S-Press PLUS Кран зі зворотним клапаном 20</t>
  </si>
  <si>
    <t>Uponor S-Press PLUS Кран зі зворотним клапаном 25</t>
  </si>
  <si>
    <t>Uponor S-Press PLUS Кран зі зворотним клапаном 32</t>
  </si>
  <si>
    <t>Uponor S-Press Кран зі зворотним клапаном 40</t>
  </si>
  <si>
    <t>Uponor S-Press PLUS Кран прихований 16</t>
  </si>
  <si>
    <t>Uponor S-Press PLUS Кран прихований 20</t>
  </si>
  <si>
    <t>Uponor S-Press PLUS Кран прихований 25</t>
  </si>
  <si>
    <t>Uponor S-Press PLUS Блок для підключення радіатора 16-16-16</t>
  </si>
  <si>
    <t>Uponor S-Press PLUS Блок підкл. радіат. 20-16-16</t>
  </si>
  <si>
    <t>Uponor S-Press PLUS Блок підкл. радіат. 20-16-20</t>
  </si>
  <si>
    <t>Uponor S-Press PLUS Блок підкл. радіат. 20-20-20</t>
  </si>
  <si>
    <t>Uponor S-Press PLUS Блок підкл. радіат., короб insulated 16-16-16</t>
  </si>
  <si>
    <t>Uponor S-Press PLUS Блок підкл. радіат., короб insulated 20-16-16</t>
  </si>
  <si>
    <t>Uponor S-Press PLUS Блок підкл. радіат., короб insulated 20-16-20</t>
  </si>
  <si>
    <t>Uponor S-Press PLUS Блок підкл. радіат., короб insulated 20-20-20</t>
  </si>
  <si>
    <t>Uponor S-Press PLUS Коліно з мідною трубкою unplated 16-15CU l=250mm</t>
  </si>
  <si>
    <t>Uponor S-Press PLUS Коліно з хромованою трубкою plated 16-15CU l=350mm</t>
  </si>
  <si>
    <t>Uponor S-Press PLUS Коліно з хр. трубкою plated 16-15CU l=1000mm</t>
  </si>
  <si>
    <t>Uponor S-Press PLUS Коліно з хр. трубкою plated 25-22CU l=250mm</t>
  </si>
  <si>
    <t>Uponor S-Press PLUS Трійник з хромованою трубкою plated 16-15CU-16 l=350mm</t>
  </si>
  <si>
    <t>Uponor S-Press PLUS Трійник з хр.трубкою plated 20-15CU-20 l=350mm</t>
  </si>
  <si>
    <t>Uponor S-Press PLUS Блок підкл. радіат. 16-G1/2"MT-16</t>
  </si>
  <si>
    <t>Uponor S-Press PLUS Блок підкл. радіат. 16-G1/2"MT-20</t>
  </si>
  <si>
    <t>Uponor S-Press PLUS Блок підкл. радіат. 16-G1/2"MT-0</t>
  </si>
  <si>
    <t>Uponor S-Press PLUS Блок підкл. радіат. 20-G1/2"MT-16</t>
  </si>
  <si>
    <t>Uponor S-Press PLUS Блок підкл. радіат. 0-G1/2"MT-16</t>
  </si>
  <si>
    <t>Uponor S-Press PLUS Блок підкл. радіат. 20-G1/2"MT-20</t>
  </si>
  <si>
    <t>Uponor S-Press PLUS Шаблон для підключення радіатора знизу radi 16-Rp1/2"FT c/c35mm</t>
  </si>
  <si>
    <t>Uponor S-Press PLUS Шаблон підкл.радіат. radi 16-Rp1/2"FT c/c50mm</t>
  </si>
  <si>
    <t>Uponor Smart Radi Євроконус під мідь 15CU-3/4" Euro</t>
  </si>
  <si>
    <t>Uponor Smart Radi Ніпель редукційний G3/4"MT-G1/2"MT</t>
  </si>
  <si>
    <t>Uponor Smart Radi Адаптер радіаторний Danfoss 16-G1/2"MT</t>
  </si>
  <si>
    <t>Uponor Smart Radi Адаптер радіаторний Heimeier 16-G1/2"MT</t>
  </si>
  <si>
    <t>Uponor Smart Radi Декоративне кільце 16 white</t>
  </si>
  <si>
    <t>Uponor Smart Radi Декоративне кільце 20 white</t>
  </si>
  <si>
    <t>Uponor Smart Radi 2хДекоративні кільця 14-20 white double</t>
  </si>
  <si>
    <t>Uponor RS Муфта RS2-RS2</t>
  </si>
  <si>
    <t>Uponor RS Муфта RS3-RS3</t>
  </si>
  <si>
    <t>Uponor RS Коліно 90° RS2-RS2</t>
  </si>
  <si>
    <t>Uponor RS Коліно 90° RS3-RS3</t>
  </si>
  <si>
    <t>Uponor RS Коліно 45° RS2-RS2</t>
  </si>
  <si>
    <t>Uponor RS Коліно 45° RS3-RS3</t>
  </si>
  <si>
    <t>Uponor RS Трійник RS2-RS2-RS2</t>
  </si>
  <si>
    <t>Uponor RS Трійник RS3-RS3-RS3</t>
  </si>
  <si>
    <t>Uponor RS Адаптер-редукція RS3-RS2</t>
  </si>
  <si>
    <t>Uponor RS Адаптер-з'єднувач RS2-RS2 l=5mm</t>
  </si>
  <si>
    <t>Uponor RS Адаптер-з'єднувач RS3-RS3 l=5mm</t>
  </si>
  <si>
    <t>Uponor RS Адаптер-подовжувач RS2-RS2 l=130mm</t>
  </si>
  <si>
    <t>Uponor RS Адаптер-подовжувач RS3-RS3 l=210mm</t>
  </si>
  <si>
    <t>Uponor RS Адаптер із зовн.різьбою R1 1/2"MT-RS2</t>
  </si>
  <si>
    <t>Uponor RS Адаптер із зовн.різьбою R2"MT-RS2</t>
  </si>
  <si>
    <t>Uponor RS Адаптер із зовн.різьбою R2 1/2"MT-RS2</t>
  </si>
  <si>
    <t>Uponor RS Адаптер із зовн.різьбою R3"MT-RS3</t>
  </si>
  <si>
    <t>Uponor RS Адаптер з внутр.різьбою Rp1/2"FT-RS2</t>
  </si>
  <si>
    <t>Uponor RS Адаптер з внутр.різьбою Rp1"FT-RS2</t>
  </si>
  <si>
    <t>Uponor RS Адаптер з внутр.різьбою Rp2"FT-RS2</t>
  </si>
  <si>
    <t>Uponor RS Адаптер з внутр.різьбою Rp2 1/2"FT-RS2</t>
  </si>
  <si>
    <t>Uponor RS Адаптер з внутр.різьбою Rp1/2"FT-RS3</t>
  </si>
  <si>
    <t>Uponor RS Адаптер з внутр.різьбою Rp3"FT-RS3</t>
  </si>
  <si>
    <t>Uponor RS Фланцевий адаптер RS2-DN65 (PN6)</t>
  </si>
  <si>
    <t>Uponor RS Фланцевий адаптер RS2-DN65 (PN16)</t>
  </si>
  <si>
    <t>Uponor RS Фланцевий адаптер RS3-DN80 (PN6)</t>
  </si>
  <si>
    <t>Uponor RS Фланцевий адаптер RS3-DN80 (PN16)</t>
  </si>
  <si>
    <t>Uponor RS Фланцевий адаптер RS3-DN100 (PN6)</t>
  </si>
  <si>
    <t>Uponor RS Фланцевий адаптер RS3-DN100 (PN16)</t>
  </si>
  <si>
    <t>Uponor RS Фіксуючий хомут RS2 black</t>
  </si>
  <si>
    <t>Uponor RS Фіксуючий хомут RS3 grey</t>
  </si>
  <si>
    <t>Uponor Flex Рукоятка довга для крану</t>
  </si>
  <si>
    <t>Uponor Flex Рукоятка прихована для крану</t>
  </si>
  <si>
    <t>Uponor Uni-X Ремонтний адаптер 16x2,0-16x2,0</t>
  </si>
  <si>
    <t>Uponor Uni-X Ремонтний адаптер 16x2,0-16x2,25</t>
  </si>
  <si>
    <t>Uponor Uni-X Ремонтний адаптер 20x2,25-20x2,25</t>
  </si>
  <si>
    <t>Uponor Uni-X Ремонтний адаптер 20x2,25-20x2,5</t>
  </si>
  <si>
    <t>Uponor Uni-X Перехідник на Євроконус 3/4"MT-3/4"FT Euro</t>
  </si>
  <si>
    <t>Uponor Uni-X Ніпель під Євроконус G3/4"MT Euro-G3/4"MT Euro</t>
  </si>
  <si>
    <t>Uponor Uni-X Коліно ЗР/ЗР під Євроконус 3/4"MT-3/4"MT Euro</t>
  </si>
  <si>
    <t>Uponor Uni-X Трійник ЗР/ЗР/ЗР Євроконус 3/4"MT-3/4"MT-3/4"MT</t>
  </si>
  <si>
    <t>Uponor Uni-C Колектор з кранами SH 1"MT/FT 2X1/2"MT c/c38mm</t>
  </si>
  <si>
    <t>Uponor Uni-C Колектор з кранами SH 1"MT/FT 3X1/2"MT c/c38mm</t>
  </si>
  <si>
    <t>Uponor Uni-C Колектор з кранами SH 1"MT/FT 4X1/2"MT c/c38mm</t>
  </si>
  <si>
    <t>Uponor Uni-C Кронштейн для колектора S</t>
  </si>
  <si>
    <t>Uponor Uni-C Кронштейн для колектору SH 3/4" 1"</t>
  </si>
  <si>
    <t>Uponor Uni-X Заглушка ВР для колектора L G1"FT</t>
  </si>
  <si>
    <t>Uponor Flex-X Затискний адаптер (Євроконус) 16x2,2-1/2"FT</t>
  </si>
  <si>
    <t>Uponor Smart Aqua Водорозетка Євроконус Uni-C 1/2"MT-1/2"FT</t>
  </si>
  <si>
    <t>Uponor Aqua Pipe Труба водопостачання PN6 16x2,0 100m</t>
  </si>
  <si>
    <t>Uponor Aqua Pipe Труба водопостачання PN6 20x2,0 100m</t>
  </si>
  <si>
    <t>Uponor Aqua Pipe Труба водопостачання PN6 25x2,3 100m</t>
  </si>
  <si>
    <t>Uponor Aqua Pipe Труба водопостачання PN6 32x2,9 50m</t>
  </si>
  <si>
    <t>Uponor Aqua Pipe Труба водопостачання Aenor PN6 40x3,7 50m</t>
  </si>
  <si>
    <t>Uponor Aqua Pipe Труба водопостачання Aenor PN6 50x4,6 50m</t>
  </si>
  <si>
    <t>Uponor Aqua Pipe Труба водопостачання Aenor PN6 63x5,8 50m</t>
  </si>
  <si>
    <t>Uponor Aqua Pipe Труба водопостачання Aenor PN6 75x6,8 50m</t>
  </si>
  <si>
    <t>Uponor Aqua Pipe Труба водопостачання PN10 16x2,2 100m</t>
  </si>
  <si>
    <t>Uponor Aqua Pipe Труба водопостачання PN10 20x2,8 50m</t>
  </si>
  <si>
    <t>Uponor Aqua Pipe Труба водопостачання PN10 25x3,5 50m</t>
  </si>
  <si>
    <t>Uponor Aqua Pipe Труба водопостачання PN10 32x4,4 50m</t>
  </si>
  <si>
    <t>Uponor Aqua Pipe Труба водопостачання PN10 40x5,5 50m</t>
  </si>
  <si>
    <t>Uponor Aqua Pipe Труба водопостачання PN10 50x6,9 50m</t>
  </si>
  <si>
    <t>Uponor Aqua Pipe Труба водопостачання PN10 63x8,6 50m</t>
  </si>
  <si>
    <t>Uponor Aqua Pipe Труба відрізками Aenor PN6, S 40x3,7 5m</t>
  </si>
  <si>
    <t>Uponor Aqua Pipe Труба відрізками Aenor PN6, S 50x4,6 5m</t>
  </si>
  <si>
    <t>Uponor Aqua Pipe Труба відрізками Aenor PN6, S 63x5,8 5m</t>
  </si>
  <si>
    <t>Uponor Aqua Pipe Труба відрізками PN6 S 90x8,2 5m</t>
  </si>
  <si>
    <t>Uponor Aqua Pipe Труба відрізками Aenor PN6, S 110x10,0 5m</t>
  </si>
  <si>
    <t>Uponor Aqua Pipe Труба відрізками PN10 S 32x4,4 6m</t>
  </si>
  <si>
    <t>Uponor Aqua Pipe Труба відрізками PN10 S 40x5,5 6m</t>
  </si>
  <si>
    <t>Uponor Aqua Pipe Труба відрізками PN10 S 50x6,9 6m</t>
  </si>
  <si>
    <t>Uponor Aqua Pipe Труба відрізками PN10 S 63x8,6 6m</t>
  </si>
  <si>
    <t>Uponor Aqua Pipe Труба відрізками PN10 S 90x12,3 6m</t>
  </si>
  <si>
    <t>Uponor Radi Pipe Труба для опал./охол. PN6 16x2,0 120m</t>
  </si>
  <si>
    <t>Uponor Radi Pipe Труба для опал./охол. PN6 20x2,0 120m</t>
  </si>
  <si>
    <t>Uponor Radi Pipe Труба для опал./охол. PN6 25x2,3 50m</t>
  </si>
  <si>
    <t>Uponor Radi Pipe Труба для опал./охол. PN6 32x2,9 50m</t>
  </si>
  <si>
    <t>Uponor Radi Pipe Труба для опал/охол PN6 40x3,7 50m</t>
  </si>
  <si>
    <t>Uponor Radi Pipe Труба для опал/охол PN6 50x4,6 50m</t>
  </si>
  <si>
    <t>Uponor Radi Pipe Труба для опал/охол PN6 63X5,8 50m</t>
  </si>
  <si>
    <t>Uponor Radi Pipe Труба для опал/охол PN6 75x6,8 50m</t>
  </si>
  <si>
    <t>Uponor Radi Pipe Труба для опал./охол. PN10 16x2,2 100m</t>
  </si>
  <si>
    <t>Uponor Radi Pipe Труба для опал./охол. PN10 20x2,8 100m</t>
  </si>
  <si>
    <t>Uponor Radi Pipe Труба для опал./охол. PN10 25x3,5 50m</t>
  </si>
  <si>
    <t>Uponor Radi Pipe Труба для опал./охол. PN10 32x4,4 100m</t>
  </si>
  <si>
    <t>Uponor Radi Pipe Труба відрізками PN6 S 40x3,7 6m</t>
  </si>
  <si>
    <t>Uponor Radi Pipe Труба відрізками PN6 S 50x4,6 6m</t>
  </si>
  <si>
    <t>Uponor Radi Pipe Труба відрізками PN6 S 63X5,8 6m</t>
  </si>
  <si>
    <t>Uponor Radi Pipe Труба відрізками PN6 S 75x6,8 6m</t>
  </si>
  <si>
    <t>Uponor Radi Pipe Труба відрізками PN6 S 90x8,2 6m</t>
  </si>
  <si>
    <t>Uponor Radi Pipe Труба відрізками PN6 S 110x10,0 6m</t>
  </si>
  <si>
    <t>Uponor Radi Pipe Труба відрізками PN10 S 40x5,5 6m</t>
  </si>
  <si>
    <t>Uponor Radi Pipe Труба відрізками PN10 S 50x6,9 6m</t>
  </si>
  <si>
    <t>Uponor Radi Pipe Труба відрізками PN10 S 63x8,6 6m</t>
  </si>
  <si>
    <t>Uponor Radi Pipe Труба відрізками PN10 S 75x10,3 6m</t>
  </si>
  <si>
    <t>Uponor Radi Pipe Труба відрізками PN10 S 90x12,3 6m</t>
  </si>
  <si>
    <t>Uponor Radi Pipe Труба відрізками PN10 110x15,1 6m</t>
  </si>
  <si>
    <t>Uponor Teck Гофра синя blue 25/20 50m</t>
  </si>
  <si>
    <t>Uponor Teck Гофра синя blue 28/23 50m</t>
  </si>
  <si>
    <t>Uponor Teck Гофра синя blue 35/29 50m</t>
  </si>
  <si>
    <t>Uponor Teck Гофра червона red 25/20 50m</t>
  </si>
  <si>
    <t>Uponor Teck Гофра червона red 28/23 50m</t>
  </si>
  <si>
    <t>Uponor Teck Гофра червона red 35/29 50m</t>
  </si>
  <si>
    <t>Uponor Q&amp;E Кільце біле з упором white 16</t>
  </si>
  <si>
    <t>Uponor Q&amp;E Кільце біле з упором white 20</t>
  </si>
  <si>
    <t>Uponor Q&amp;E Кільце біле з упором white 25</t>
  </si>
  <si>
    <t>Uponor Q&amp;E Кільце біле з упором white 32</t>
  </si>
  <si>
    <t>Uponor Q&amp;E Кільце червоне з упором red 16</t>
  </si>
  <si>
    <t>Uponor Q&amp;E Кільце червоне з упором red 20</t>
  </si>
  <si>
    <t>Uponor Q&amp;E Кільце червоне з упором red 25</t>
  </si>
  <si>
    <t>Uponor Q&amp;E Кільце синє з упором blue 16</t>
  </si>
  <si>
    <t>Uponor Q&amp;E Кільце синє з упором blue 20</t>
  </si>
  <si>
    <t>Uponor Q&amp;E Кільце синє з упором blue 25</t>
  </si>
  <si>
    <t>Uponor Q&amp;E Трійник PPSU 16-16-16</t>
  </si>
  <si>
    <t>Uponor Q&amp;E Трійник PPSU 20-20-20</t>
  </si>
  <si>
    <t>Uponor Q&amp;E Трійник PPSU 25-25-25</t>
  </si>
  <si>
    <t>Uponor Q&amp;E Трійник PPSU 32-32-32</t>
  </si>
  <si>
    <t>Uponor Q&amp;E Трійник PPSU 40-40-40</t>
  </si>
  <si>
    <t>Uponor Q&amp;E Трійник PPSU 50-50-50</t>
  </si>
  <si>
    <t>Uponor Q&amp;E Трійник PPSU 63-63-63</t>
  </si>
  <si>
    <t>Uponor Q&amp;E Трійник PPSU 75-75-75</t>
  </si>
  <si>
    <t>Uponor Q&amp;E Колектор PL 3/4"MT/FT 2X16 c/c35mm</t>
  </si>
  <si>
    <t>Uponor Q&amp;E Колектор PL 3/4"MT/FT 3X16 c/c35mm</t>
  </si>
  <si>
    <t>Uponor Q&amp;E Колектор PL 3/4"MT/FT 4X16 c/c35mm</t>
  </si>
  <si>
    <t>Uponor Q&amp;E Колектор з кранами PL SH 1"MT/FT 2X16 c/c38mm</t>
  </si>
  <si>
    <t>Uponor Q&amp;E Колектор з кранами PL SH 1"MT/FT 3X16 c/c38mm</t>
  </si>
  <si>
    <t>Uponor Q&amp;E Колектор з кранами PL SH 1"MT/FT 4X16 c/c38mm</t>
  </si>
  <si>
    <t>Uponor Q&amp;E Штуцер із зовн. різьбою PL 16-G3/8"MT</t>
  </si>
  <si>
    <t>Uponor Q&amp;E Штуцер із зовн. різьбою PL 16-G3/4"MT</t>
  </si>
  <si>
    <t>Uponor Q&amp;E Штуцер під Wipex PL W 50-G1 1/4"MT</t>
  </si>
  <si>
    <t>Uponor Q&amp;E Штуцер під Wipex PL W 63-G2"MT</t>
  </si>
  <si>
    <t>Uponor Q&amp;E Штуцер під Wipex PL W 32-G1"MT</t>
  </si>
  <si>
    <t>Uponor Q&amp;E Штуцер під Wipex PL W 40-G1"MT</t>
  </si>
  <si>
    <t>Uponor Q&amp;E Штуцер під Wipex PL W 40-G1 1/4"MT</t>
  </si>
  <si>
    <t>Uponor Q&amp;E Заглушка 16</t>
  </si>
  <si>
    <t>Uponor Smart Aqua U-Водорозетка прохідна Q&amp;E 16-Rp1/2"FT-16</t>
  </si>
  <si>
    <t>Uponor Smart Aqua U-Водорозетка прохідна Q&amp;E 20-Rp1/2"FT-20</t>
  </si>
  <si>
    <t>Uponor Smart Aqua Водорозетка (3 отв) Q&amp;E PL 16-Rp1/2"FT</t>
  </si>
  <si>
    <t>Uponor Smart Aqua Водорозетка (3 отв) Q&amp;E PL 20-Rp1/2"FT</t>
  </si>
  <si>
    <t>Uponor Smart Aqua Водорозетка (2 отв) Q&amp;E PL 16-Rp1/2"FT l=43mm</t>
  </si>
  <si>
    <t>Uponor Smart Aqua Водорозетка (2 отв) Q&amp;E PL 20-Rp1/2"FT l=43mm</t>
  </si>
  <si>
    <t>Uponor Smart Aqua Водорозетка під короб Q&amp;E UP PL 16-Rp1/2"FT</t>
  </si>
  <si>
    <t>Uponor Smart Aqua Настінний короб Q&amp;E SP 34/28 42/36</t>
  </si>
  <si>
    <t>Uponor Smart Aqua Водорозетка під короб Q&amp;E SP PL 20-Rp1/2"FT</t>
  </si>
  <si>
    <t>Uponor Smart Aqua Водорозетка під короб Q&amp;E SP PL 25-Rp3/4"FT</t>
  </si>
  <si>
    <t>Uponor Smart Radi Трубка кут. радіаторна Q&amp;E 16-15CU l=300mm</t>
  </si>
  <si>
    <t>Uponor Smart Radi Трубка кут. радіаторна Q&amp;E 20-15CU l=300mm</t>
  </si>
  <si>
    <t>Uponor Smart Radi Трубка кут. радіаторна Q&amp;E 16-15CU l=1100mm</t>
  </si>
  <si>
    <t>Uponor Smart Radi Трубка з трійником Q&amp;E 16-15CU-16 l=300mm</t>
  </si>
  <si>
    <t>Uponor Smart Radi Трубка з трійником Q&amp;E 20-15CU-20 l=300mm</t>
  </si>
  <si>
    <t>Uponor Aqua PLUS Колектор Q&amp;E PPM 1" 2X16 c/c50mm</t>
  </si>
  <si>
    <t>Uponor Aqua PLUS Колектор Q&amp;E PPM 1" 3X16 c/c50mm</t>
  </si>
  <si>
    <t>Uponor Aqua PLUS Колектор Q&amp;E PPM 1" 4X16 c/c50mm</t>
  </si>
  <si>
    <t>Uponor Aqua PLUS Колектор під різьбу PPM 1" 1XG1/2"MT c/c50mm</t>
  </si>
  <si>
    <t>Uponor Aqua PLUS Колектор під різьбу PPM 1" 1XG3/4"MT c/c50mm</t>
  </si>
  <si>
    <t>Uponor Aqua PLUS Штуцер з зовн. різьбою PPM 1" G3/4"MT</t>
  </si>
  <si>
    <t>Uponor Aqua PLUS Коліно з зовн. різьбою PPM 1" G3/4"MT</t>
  </si>
  <si>
    <t>Uponor Aqua PLUS Заглушка PPM 1"FT</t>
  </si>
  <si>
    <t>Uponor Aqua PLUS Заглушка-розповітрювач PPM 1"FT</t>
  </si>
  <si>
    <t>Uponor Aqua PLUS Кріплення колектора з планками PPM</t>
  </si>
  <si>
    <t>Uponor Aqua PLUS Кріплення колектора PPM</t>
  </si>
  <si>
    <t>Uponor Aqua PLUS Заглушка для колектору 3/4"FT</t>
  </si>
  <si>
    <t>Uponor Multi Фіксатор повороту, пластик 12</t>
  </si>
  <si>
    <t>Uponor Multi Фіксатор повороту, пластик 10-12</t>
  </si>
  <si>
    <t>Uponor Multi Фіксатор повороту, пластик 14-18</t>
  </si>
  <si>
    <t>Uponor Multi Фіксатор повороту, пластик 20-22</t>
  </si>
  <si>
    <t>Uponor Multi Фіксатор повороту, пластик 18</t>
  </si>
  <si>
    <t>Uponor Multi Фіксатор повороту, пластик 20</t>
  </si>
  <si>
    <t>Uponor Multi Фіксатор повороту, пластик 28</t>
  </si>
  <si>
    <t>Uponor Multi Регулюючий фіксатор повороту 20</t>
  </si>
  <si>
    <t>Uponor Multi Регулюючий фіксатор повороту 21-25</t>
  </si>
  <si>
    <t>Uponor Multi Фіксатор повороту сталевий 16</t>
  </si>
  <si>
    <t>Uponor Multi Фіксатор повороту сталевий 20</t>
  </si>
  <si>
    <t>Uponor Multi Фіксатор повороту сталевий 25</t>
  </si>
  <si>
    <t>Uponor Multi Фіксатор повороту сталевий 34</t>
  </si>
  <si>
    <t>Uponor Smart Aqua Тимчасова заглушка 1/2"MT</t>
  </si>
  <si>
    <t>Uponor Smart Aqua Тимчасова заглушка WW 1/2"MT</t>
  </si>
  <si>
    <t>Uponor Smart Radi Захисна гільза трубна 16, l=200mm</t>
  </si>
  <si>
    <t>Uponor Smart Radi Кутовий фіксатор 25/20mm</t>
  </si>
  <si>
    <t>Uponor Flex Фіксуючий жолоб 16, l=3m</t>
  </si>
  <si>
    <t>Uponor Flex Фіксуючий жолоб 20, l=3m</t>
  </si>
  <si>
    <t>Uponor Flex Фіксуючий жолоб 25, l=3m</t>
  </si>
  <si>
    <t>Uponor Flex Фіксуючий жолоб 32, l=3m</t>
  </si>
  <si>
    <t>Uponor Flex Фіксуючий жолоб 40, l=3m</t>
  </si>
  <si>
    <t>Uponor Flex Фіксуючий жолоб 50, l=3m</t>
  </si>
  <si>
    <t>Uponor Flex Фіксуючий жолоб 63, l=3m</t>
  </si>
  <si>
    <t>Uponor INOX Труба нержавіюча S 15x1,0 6m</t>
  </si>
  <si>
    <t>Uponor INOX Труба нержавіюча S 18x1,0 6m</t>
  </si>
  <si>
    <t>Uponor INOX Труба нержавіюча S 22x1,2 6m</t>
  </si>
  <si>
    <t>Uponor INOX Труба нержавіюча S 28x1,2 6m</t>
  </si>
  <si>
    <t>Uponor INOX Труба нержавіюча S 35x1,5 6m</t>
  </si>
  <si>
    <t>Uponor INOX Труба нержавіюча S 42x1,5 6m</t>
  </si>
  <si>
    <t>Uponor INOX Труба нержавіюча S 54x1,5 6m</t>
  </si>
  <si>
    <t>Uponor INOX Коліно 90° вн/вн 15-15</t>
  </si>
  <si>
    <t>Uponor INOX Коліно 90° вн/вн 18-18</t>
  </si>
  <si>
    <t>Uponor INOX Коліно 90° вн/вн 22-22</t>
  </si>
  <si>
    <t>Uponor INOX Коліно 90° вн/вн 28-28</t>
  </si>
  <si>
    <t>Uponor INOX Коліно 90° вн/вн 35-35</t>
  </si>
  <si>
    <t>Uponor INOX Коліно 90° вн/вн 42-42</t>
  </si>
  <si>
    <t>Uponor INOX Коліно 90° вн/вн 54-54</t>
  </si>
  <si>
    <t>Uponor INOX Коліно 90° вн/зн 15-15</t>
  </si>
  <si>
    <t>Uponor INOX Коліно 90° вн/зн 18-18</t>
  </si>
  <si>
    <t>Uponor INOX Коліно 90° вн/зн 22-22</t>
  </si>
  <si>
    <t>Uponor INOX Коліно 90° вн/зн 28-28</t>
  </si>
  <si>
    <t>Uponor INOX Коліно 90° вн/зн 35-35</t>
  </si>
  <si>
    <t>Uponor INOX Коліно 90° вн/зн 42-42</t>
  </si>
  <si>
    <t>Uponor INOX Коліно 90° вн/зн 54-54</t>
  </si>
  <si>
    <t>Uponor INOX Коліно 45° вн/вн 15-15</t>
  </si>
  <si>
    <t>Uponor INOX Коліно 45° вн/вн 18-18</t>
  </si>
  <si>
    <t>Uponor INOX Коліно 45° вн/вн 22-22</t>
  </si>
  <si>
    <t>Uponor INOX Коліно 45° вн/вн 28-28</t>
  </si>
  <si>
    <t>Uponor INOX Коліно 45° вн/вн 35-35</t>
  </si>
  <si>
    <t>Uponor INOX Коліно 45° вн/вн 42-42</t>
  </si>
  <si>
    <t>Uponor INOX Коліно 45° вн/вн 54-54</t>
  </si>
  <si>
    <t>Uponor INOX Коліно 45° вн/зн 15-15</t>
  </si>
  <si>
    <t>Uponor INOX Коліно 45° вн/зн 18-18</t>
  </si>
  <si>
    <t>Uponor INOX Коліно 45° вн/зн 22-22</t>
  </si>
  <si>
    <t>Uponor INOX Коліно 45° вн/зн 28-28</t>
  </si>
  <si>
    <t>Uponor INOX Коліно 45° вн/зн 35-35</t>
  </si>
  <si>
    <t>Uponor INOX Коліно 45° вн/зн 42-42</t>
  </si>
  <si>
    <t>Uponor INOX Коліно 45° вн/зн 54-54</t>
  </si>
  <si>
    <t>Uponor INOX Муфта 15-15</t>
  </si>
  <si>
    <t>Uponor INOX Муфта 18-18</t>
  </si>
  <si>
    <t>Uponor INOX Муфта 22-22</t>
  </si>
  <si>
    <t>Uponor INOX Муфта 28-28</t>
  </si>
  <si>
    <t>Uponor INOX Муфта 35-35</t>
  </si>
  <si>
    <t>Uponor INOX Муфта 42-42</t>
  </si>
  <si>
    <t>Uponor INOX Муфта 54-54</t>
  </si>
  <si>
    <t>Uponor INOX Редукція зн/вн 18-15</t>
  </si>
  <si>
    <t>Uponor INOX Редукція зн/вн 22-15</t>
  </si>
  <si>
    <t>Uponor INOX Редукція зн/вн 22-18</t>
  </si>
  <si>
    <t>Uponor INOX Редукція зн/вн 28-15</t>
  </si>
  <si>
    <t>Uponor INOX Редукція зн/вн 28-18</t>
  </si>
  <si>
    <t>Uponor INOX Редукція зн/вн 28-22</t>
  </si>
  <si>
    <t>Uponor INOX Редукція зн/вн 35-18</t>
  </si>
  <si>
    <t>Uponor INOX Редукція зн/вн 35-22</t>
  </si>
  <si>
    <t>Uponor INOX Редукція зн/вн 35-28</t>
  </si>
  <si>
    <t>Uponor INOX Редукція зн/вн 42-18</t>
  </si>
  <si>
    <t>Uponor INOX Редукція зн/вн 42-22</t>
  </si>
  <si>
    <t>Uponor INOX Редукція зн/вн 42-28</t>
  </si>
  <si>
    <t>Uponor INOX Редукція зн/вн 42-35</t>
  </si>
  <si>
    <t>Uponor INOX Редукція зн/вн 54-28</t>
  </si>
  <si>
    <t>Uponor INOX Редукція зн/вн 54-35</t>
  </si>
  <si>
    <t>Uponor INOX Редукція зн/вн 54-42</t>
  </si>
  <si>
    <t>Uponor INOX Трійник 15-15-15</t>
  </si>
  <si>
    <t>Uponor INOX Трійник 18-18-18</t>
  </si>
  <si>
    <t>Uponor INOX Трійник 22-22-22</t>
  </si>
  <si>
    <t>Uponor INOX Трійник 28-28-28</t>
  </si>
  <si>
    <t>Uponor INOX Трійник 35-35-35</t>
  </si>
  <si>
    <t>Uponor INOX Трійник 42-42-42</t>
  </si>
  <si>
    <t>Uponor INOX Трійник 54-54-54</t>
  </si>
  <si>
    <t>Uponor INOX Трійник редукційний 18-15-18</t>
  </si>
  <si>
    <t>Uponor INOX Трійник редукційний 22-15-22</t>
  </si>
  <si>
    <t>Uponor INOX Трійник редукційний 22-18-22</t>
  </si>
  <si>
    <t>Uponor INOX Трійник редукційний 28-15-28</t>
  </si>
  <si>
    <t>Uponor INOX Трійник редукційний 28-18-28</t>
  </si>
  <si>
    <t>Uponor INOX Трійник редукційний 28-22-28</t>
  </si>
  <si>
    <t>Uponor INOX Трійник редукційний 35-15-35</t>
  </si>
  <si>
    <t>Uponor INOX Трійник редукційний 35-18-35</t>
  </si>
  <si>
    <t>Uponor INOX Трійник редукційний 35-22-35</t>
  </si>
  <si>
    <t>Uponor INOX Трійник редукційний 35-28-35</t>
  </si>
  <si>
    <t>Uponor INOX Трійник редукційний 42-18-42</t>
  </si>
  <si>
    <t>Uponor INOX Трійник редукційний 42-22-42</t>
  </si>
  <si>
    <t>Uponor INOX Трійник редукційний 42-28-42</t>
  </si>
  <si>
    <t>Uponor INOX Трійник редукційний 42-35-42</t>
  </si>
  <si>
    <t>Uponor INOX Трійник редукційний 54-18-54</t>
  </si>
  <si>
    <t>Uponor INOX Трійник редукційний 54-22-54</t>
  </si>
  <si>
    <t>Uponor INOX Трійник редукційний 54-28-54</t>
  </si>
  <si>
    <t>Uponor INOX Трійник редукційний 54-35-54</t>
  </si>
  <si>
    <t>Uponor INOX Трійник редукційний 54-42-54</t>
  </si>
  <si>
    <t>Uponor INOX Трійник з внутр. різьбою 15-Rp1/2"FT-15</t>
  </si>
  <si>
    <t>Uponor INOX Трійник з внутр. різьбою 18-Rp1/2"FT-18</t>
  </si>
  <si>
    <t>Uponor INOX Трійник з внутр. різьбою 18-Rp3/4"FT-18</t>
  </si>
  <si>
    <t>Uponor INOX Трійник з внутр. різьбою 22-Rp1/2"FT-22</t>
  </si>
  <si>
    <t>Uponor INOX Трійник з внутр. різьбою 22-Rp3/4"FT-22</t>
  </si>
  <si>
    <t>Uponor INOX Трійник з внутр. різьбою 28-Rp1/2"FT-28</t>
  </si>
  <si>
    <t>Uponor INOX Трійник з внутр. різьбою 28-Rp3/4"FT-28</t>
  </si>
  <si>
    <t>Uponor INOX Трійник з внутр. різьбою 35-Rp1/2"FT-35</t>
  </si>
  <si>
    <t>Uponor INOX Трійник з внутр. різьбою 35-Rp3/4"FT-35</t>
  </si>
  <si>
    <t>Uponor INOX Трійник з внутр. різьбою 42-Rp1/2"FT-42</t>
  </si>
  <si>
    <t>Uponor INOX Трійник з внутр. різьбою 42-Rp3/4"FT-42</t>
  </si>
  <si>
    <t>Uponor INOX Трійник з внутр. різьбою 54-Rp1/2"FT-54</t>
  </si>
  <si>
    <t>Uponor INOX Трійник з внутр. різьбою 54-Rp3/4"FT-54</t>
  </si>
  <si>
    <t>Uponor INOX Трійник з внутр. різьбою 54-Rp2"FT-54</t>
  </si>
  <si>
    <t>Uponor INOX Штуцер із зовн. різьбою 15xR1/2"MT</t>
  </si>
  <si>
    <t>Uponor INOX Штуцер із зовн. різьбою 15xR3/4"MT</t>
  </si>
  <si>
    <t>Uponor INOX Штуцер із зовн. різьбою 18xR1/2"MT</t>
  </si>
  <si>
    <t>Uponor INOX Штуцер із зовн. різьбою 18xR3/4"MT</t>
  </si>
  <si>
    <t>Uponor INOX Штуцер із зовн. різьбою 22xR1/2"MT</t>
  </si>
  <si>
    <t>Uponor INOX Штуцер із зовн. різьбою 22xR3/4"MT</t>
  </si>
  <si>
    <t>Uponor INOX Штуцер із зовн. різьбою 22xR1"MT</t>
  </si>
  <si>
    <t>Uponor INOX Штуцер із зовн. різьбою 28xR3/4"MT</t>
  </si>
  <si>
    <t>Uponor INOX Штуцер із зовн. різьбою 28xR1"MT</t>
  </si>
  <si>
    <t>Uponor INOX Штуцер із зовн. різьбою 35xR1"MT</t>
  </si>
  <si>
    <t>Uponor INOX Штуцер із зовн. різьбою 35xR1 1/4"MT</t>
  </si>
  <si>
    <t>Uponor INOX Штуцер із зовн. різьбою 42xR1 1/2"MT</t>
  </si>
  <si>
    <t>Uponor INOX Штуцер із зовн. різьбою 54xR2"MT</t>
  </si>
  <si>
    <t>Uponor INOX Штуцер із внутр. різьбою 15xRp1/2"FT</t>
  </si>
  <si>
    <t>Uponor INOX Штуцер із внутр. різьбою 15xRp3/4"FT</t>
  </si>
  <si>
    <t>Uponor INOX Штуцер із внутр. різьбою 18xRp1/2"FT</t>
  </si>
  <si>
    <t>Uponor INOX Штуцер із внутр. різьбою 18xRp3/4"FT</t>
  </si>
  <si>
    <t>Uponor INOX Штуцер із внутр. різьбою 22xRp1/2"FT</t>
  </si>
  <si>
    <t>Uponor INOX Штуцер із внутр. різьбою 22xRp3/4"FT</t>
  </si>
  <si>
    <t>Uponor INOX Штуцер із внутр. різьбою 22xRp1"FT</t>
  </si>
  <si>
    <t>Uponor INOX Штуцер із внутр. різьбою 28xRp3/4"FT</t>
  </si>
  <si>
    <t>Uponor INOX Штуцер із внутр. різьбою 28xRp1"FT</t>
  </si>
  <si>
    <t>Uponor INOX Штуцер із внутр. різьбою 35xRp1"FT</t>
  </si>
  <si>
    <t>Uponor INOX Штуцер із внутр. різьбою 35xRp1 1/4"FT</t>
  </si>
  <si>
    <t>Uponor INOX Штуцер із внутр. різьбою 42xRp1 1/2"FT</t>
  </si>
  <si>
    <t>Uponor INOX Штуцер із внутр. різьбою 54xRp2"FT</t>
  </si>
  <si>
    <t>Uponor Decibel</t>
  </si>
  <si>
    <t>Uponor Aqua Ambient Душовий злив срібний 30/600mm</t>
  </si>
  <si>
    <t>Uponor Aqua Ambient Душовий злив срібний 30/700mm</t>
  </si>
  <si>
    <t>Uponor Aqua Ambient Душовий злив срібний 30/800mm</t>
  </si>
  <si>
    <t>Uponor Aqua Ambient Душовий злив срібний 30/900mm</t>
  </si>
  <si>
    <t>Uponor Aqua Ambient Душовий злив срібний 30/1000mm</t>
  </si>
  <si>
    <t>Uponor Aqua Ambient Душовий злив чорний 30/600mm</t>
  </si>
  <si>
    <t>Uponor Aqua Ambient Душовий злив чорний 30/700mm</t>
  </si>
  <si>
    <t>Uponor Aqua Ambient Душовий злив чорний 30/800mm</t>
  </si>
  <si>
    <t>Uponor Aqua Ambient Душовий злив чорний 30/900mm</t>
  </si>
  <si>
    <t>Uponor Aqua Ambient Душовий злив чорний 30/1000mm</t>
  </si>
  <si>
    <t>Uponor Aqua Ambient Душовий злив низький срібний 30/600mm</t>
  </si>
  <si>
    <t>Uponor Aqua Ambient Душовий злив низький срібний 30/700mm</t>
  </si>
  <si>
    <t>Uponor Aqua Ambient Душовий злив низький срібний 30/800mm</t>
  </si>
  <si>
    <t>Uponor Aqua Ambient Душовий злив низький срібний 30/900mm</t>
  </si>
  <si>
    <t>Uponor Aqua Ambient Душовий злив низький срібний 30/1000mm</t>
  </si>
  <si>
    <t>Uponor Aqua Ambient Душовий злив низький чорний 30/600mm</t>
  </si>
  <si>
    <t>Uponor Aqua Ambient Душовий злив низький чорний 30/700mm</t>
  </si>
  <si>
    <t>Uponor Aqua Ambient Душовий злив низький чорний 30/800mm</t>
  </si>
  <si>
    <t>Uponor Aqua Ambient Душовий злив низький чорний 30/900mm</t>
  </si>
  <si>
    <t>Uponor Aqua Ambient Душовий злив низький чорний 30/1000mm</t>
  </si>
  <si>
    <t>Uponor Aqua Ambient Решітка душового зливу срібна перфор. 600mm</t>
  </si>
  <si>
    <t>Uponor Aqua Ambient Решітка душового зливу срібна перфор. 700mm</t>
  </si>
  <si>
    <t>Uponor Aqua Ambient Решітка душового зливу срібна перфор. 800mm</t>
  </si>
  <si>
    <t>Uponor Aqua Ambient Решітка душового зливу срібна перфор. 900mm</t>
  </si>
  <si>
    <t>Uponor Aqua Ambient Решітка душового зливу срібна перфор. 1000mm</t>
  </si>
  <si>
    <t>Uponor Aqua Ambient Решітка душового зливу чорна перфор. 600mm</t>
  </si>
  <si>
    <t>Uponor Aqua Ambient Решітка душового зливу чорна перфор. 700mm</t>
  </si>
  <si>
    <t>Uponor Aqua Ambient Решітка душового зливу чорна перфор. 800mm</t>
  </si>
  <si>
    <t>Uponor Aqua Ambient Решітка душового зливу чорна перфор. 900mm</t>
  </si>
  <si>
    <t>Uponor Aqua Ambient Решітка душового зливу чорна перфор. 1000mm</t>
  </si>
  <si>
    <t>Uponor Aqua Ambient Решітка душового зливу срібна класична 600mm</t>
  </si>
  <si>
    <t>Uponor Aqua Ambient Решітка душового зливу срібна класична 700mm</t>
  </si>
  <si>
    <t>Uponor Aqua Ambient Решітка душового зливу срібна класична 800mm</t>
  </si>
  <si>
    <t>Uponor Aqua Ambient Решітка душового зливу срібна класична 900mm</t>
  </si>
  <si>
    <t>Uponor Aqua Ambient Решітка душового зливу срібна класична 1000mm</t>
  </si>
  <si>
    <t>Uponor Aqua Ambient Решітка душового зливу чорна класична 600mm</t>
  </si>
  <si>
    <t>Uponor Aqua Ambient Решітка душового зливу чорна класична 700mm</t>
  </si>
  <si>
    <t>Uponor Aqua Ambient Решітка душового зливу чорна класична 800mm</t>
  </si>
  <si>
    <t>Uponor Aqua Ambient Решітка душового зливу чорна класична 900mm</t>
  </si>
  <si>
    <t>Uponor Aqua Ambient Решітка душового зливу чорна класична 1000mm</t>
  </si>
  <si>
    <t>Uponor Aqua Ambient Решітка душового зливу срібна під плитку 600mm</t>
  </si>
  <si>
    <t>Uponor Aqua Ambient Решітка душового зливу срібна під плитку 700mm</t>
  </si>
  <si>
    <t>Uponor Aqua Ambient Решітка душового зливу срібна під плитку 800mm</t>
  </si>
  <si>
    <t>Uponor Aqua Ambient Решітка душового зливу срібна під плитку 900mm</t>
  </si>
  <si>
    <t>Uponor Aqua Ambient Решітка душового зливу срібна під плитку 1000mm</t>
  </si>
  <si>
    <t>Uponor Aqua Ambient Решітка душового зливу чорна під плитку 600mm</t>
  </si>
  <si>
    <t>Uponor Aqua Ambient Решітка душового зливу чорна під плитку 700mm</t>
  </si>
  <si>
    <t>Uponor Aqua Ambient Решітка душового зливу чорна під плитку 800mm</t>
  </si>
  <si>
    <t>Uponor Aqua Ambient Решітка душового зливу чорна під плитку 900mm</t>
  </si>
  <si>
    <t>Uponor Aqua Ambient Решітка душового зливу чорна під плитку 1000mm</t>
  </si>
  <si>
    <t>Uponor Aqua Ambient Трап кутовий Classic/arco FI 50</t>
  </si>
  <si>
    <t>Uponor Aqua Ambient Трап кутовий Classic/spot FI 50</t>
  </si>
  <si>
    <t>Uponor Aqua Ambient Трап кутовий Classic/cube FI 50</t>
  </si>
  <si>
    <t>Uponor Aqua Ambient Трап кутовий Super/arco FI 50</t>
  </si>
  <si>
    <t>Uponor Aqua Ambient Трап кутовий Super/spot FI 50</t>
  </si>
  <si>
    <t>Uponor Aqua Ambient Трап кутовий Super/cube FI 50</t>
  </si>
  <si>
    <t>Uponor Aqua Ambient Трап кутовий Standard 150mmx150mm FI 110</t>
  </si>
  <si>
    <t>Uponor Aqua Ambient Трап кутовий Standard 100mmx100mm FI 50</t>
  </si>
  <si>
    <t>Uponor Aqua Ambient Трап кутовий з воротом Standard FI 50</t>
  </si>
  <si>
    <t>Uponor Aqua Ambient Трап прямий Classic/arco FI 50</t>
  </si>
  <si>
    <t>Uponor Aqua Ambient Трап прямий Classic/spot FI 50</t>
  </si>
  <si>
    <t>Uponor Aqua Ambient Трап прямий Classic/cube FI 50</t>
  </si>
  <si>
    <t>Uponor Aqua Ambient Трап прохідний Super/arco FI 50</t>
  </si>
  <si>
    <t>Uponor Aqua Ambient Трап прохідний Super/spot FI 50</t>
  </si>
  <si>
    <t>Uponor Aqua Ambient Трап прямий Standard 100mmx100mm FI 50</t>
  </si>
  <si>
    <t>Uponor Decibel Трап прямий Standard 150mmx150mm FI 110</t>
  </si>
  <si>
    <t>Uponor Aqua Ambient Трап прямий з воротом Standard FI 50</t>
  </si>
  <si>
    <t>Uponor HypAir Вакуумний клапан 70-110</t>
  </si>
  <si>
    <t>Uponor HypAir Вакуумний клапан 32-63</t>
  </si>
  <si>
    <t>Uponor Comfort Pipe PLUS Труба 14x2,0 120m</t>
  </si>
  <si>
    <t>Uponor Comfort Pipe PLUS Труба 14x2,0 240m</t>
  </si>
  <si>
    <t>Uponor Comfort Pipe PLUS Труба 16x2,0 120m</t>
  </si>
  <si>
    <t>Uponor Comfort Pipe PLUS Труба 16x2,0 240m</t>
  </si>
  <si>
    <t>Uponor Comfort Pipe PLUS Труба 16x2,0 640m</t>
  </si>
  <si>
    <t>Uponor Comfort Pipe PLUS Труба 17x2,0 120m</t>
  </si>
  <si>
    <t>Uponor Comfort Pipe PLUS Труба 17x2,0 240m</t>
  </si>
  <si>
    <t>Uponor Comfort Pipe PLUS Труба 17x2,0 480m</t>
  </si>
  <si>
    <t>Uponor Comfort Pipe PLUS Труба 17x2,0 640m</t>
  </si>
  <si>
    <t>Uponor Comfort Pipe PLUS Труба 20x2,0 120m</t>
  </si>
  <si>
    <t>Uponor Comfort Pipe PLUS Труба 20x2,0 240m</t>
  </si>
  <si>
    <t>Uponor Comfort Pipe PLUS Труба 20x2,0 480m</t>
  </si>
  <si>
    <t>Uponor Comfort Pipe PLUS Труба 20x2,0 1000m</t>
  </si>
  <si>
    <t>Uponor Comfort Pipe PLUS Труба 25x2,3 220m</t>
  </si>
  <si>
    <t>Uponor Comfort Pipe PLUS Труба 25x2,3 300m</t>
  </si>
  <si>
    <t>Uponor Comfort Pipe PLUS Труба 25x2,3 640m</t>
  </si>
  <si>
    <t>Uponor Comfort Pipe Труба Minitec 9,9x1,1 120m</t>
  </si>
  <si>
    <t>Uponor Comfort Pipe Труба Minitec 9,9x1,1 240m</t>
  </si>
  <si>
    <t>Uponor Comfort Pipe Труба Minitec 9,9x1,1 480m</t>
  </si>
  <si>
    <t>Uponor Comfort Pipe Труба Minitec 9,9x1,1 1000m</t>
  </si>
  <si>
    <t>Uponor Comfort Pipe Труба PN10 16x2,2 240m</t>
  </si>
  <si>
    <t>Uponor Comfort Pipe Труба PN10 16x2,2 640m</t>
  </si>
  <si>
    <t>Uponor Comfort Pipe Труба PN10 20x2,8 240m</t>
  </si>
  <si>
    <t>Uponor Comfort Pipe Труба PN10 20x2,8 480m</t>
  </si>
  <si>
    <t>Uponor Vario Затискний адаптер (Євроконус) PEX 25x2,3-G3/4"FT Euro</t>
  </si>
  <si>
    <t>Uponor Smart</t>
  </si>
  <si>
    <t>Uponor Smart PE-RT труба 16x2,0 240m</t>
  </si>
  <si>
    <t>1,25</t>
  </si>
  <si>
    <t>Uponor Smart PE-RT труба 16x2,0 640m</t>
  </si>
  <si>
    <t>Uponor Smart PE-RT труба 20x2,0 240m</t>
  </si>
  <si>
    <t>1,47</t>
  </si>
  <si>
    <t>Uponor Smart PE-RT труба 20x2,0 480m</t>
  </si>
  <si>
    <t>Uponor Q&amp;E Редукція Minitec 20xMinitec9,9</t>
  </si>
  <si>
    <t>Uponor Q&amp;E Трійник редукц. Minitec 20xMinitec9,9xQ&amp;E20</t>
  </si>
  <si>
    <t>Uponor Q&amp;E Кільце біле з упором natural, eval 14</t>
  </si>
  <si>
    <t>Uponor Q&amp;E Муфта латунна DR 14-14</t>
  </si>
  <si>
    <t>Uponor Q&amp;E Муфта латунна DR 16x1,8/2,0-16x1,8/2,0</t>
  </si>
  <si>
    <t>Uponor Q&amp;E Муфта латунна DR 17-17</t>
  </si>
  <si>
    <t>Uponor Q&amp;E Муфта латунна DR 20-20</t>
  </si>
  <si>
    <t>Uponor Q&amp;E Редукція Minitec S-Press 20-Q&amp;E9,9</t>
  </si>
  <si>
    <t>Uponor Q&amp;E Трійник Minitec S-Press 20-Q&amp;E9,9-Press20</t>
  </si>
  <si>
    <t>Uponor Q&amp;E Трійник редукційний 20-14-20</t>
  </si>
  <si>
    <t>Uponor Minitec Панель самоклеюча 15,4m2 9,9x1,1 1100x700x12mm</t>
  </si>
  <si>
    <t>Uponor Minitec Демпферна стрічка 20m 80x8mm</t>
  </si>
  <si>
    <t>Uponor Minitec Профіль розширювальний 0,9m 40x10mm</t>
  </si>
  <si>
    <t>Uponor Minitec Профіль розширювальний 1,3m 40x10mm</t>
  </si>
  <si>
    <t>Uponor Minitec Захисна трубка 9,9mm 300x2mm</t>
  </si>
  <si>
    <t>Uponor Minitec Затиск. адаптер (Євроконус) 9,9x1,1-G3/4"Euro</t>
  </si>
  <si>
    <t>Uponor Minitec Муфта Q&amp;E 9,9x1,1</t>
  </si>
  <si>
    <t>Uponor Minitec Штуцер із зовн. різьбою 9,9-R1/2"MT</t>
  </si>
  <si>
    <t>Uponor Minitec Кільце для труб 9,9x1,1</t>
  </si>
  <si>
    <t>Uponor Tecto Панель ND 30 EPS DES 30-2mm 14-17mm 1450x850mm</t>
  </si>
  <si>
    <t>Uponor Tecto Панель ND 11 EPS 11mm 14-17mm 1450x850mm</t>
  </si>
  <si>
    <t>Uponor Tecto З'єднувальна смужка фольги 1,4m 100mm</t>
  </si>
  <si>
    <t>Uponor Tecto Смужка панелі 1,45m 200mm</t>
  </si>
  <si>
    <t>Uponor Tecto Компенсац. елемент 30 мм EPS DES 30-2mm 150x1400mm</t>
  </si>
  <si>
    <t>Uponor Tecto Компенсац. елемент 11 мм EPS 11mm 150x1400mm</t>
  </si>
  <si>
    <t>Uponor Nubos Панель для укладки труб EPS 30-2 14-16mm 1447x900x48mm</t>
  </si>
  <si>
    <t>Uponor Nubos Панель для укладки труб EPS 11 14-16mm 1447x900x29mm</t>
  </si>
  <si>
    <t>Uponor Nubos Панель для укладки труб 14-16mm</t>
  </si>
  <si>
    <t>Uponor Nubos Панель для укладки труб unpacked 14-16mm</t>
  </si>
  <si>
    <t>Uponor Klett Панель без ізоляції 2400x1000x3mm</t>
  </si>
  <si>
    <t>Uponor Klett Труба з фіксуючою стрічкою Comfort Pipe PLUS 16x2,0 240m</t>
  </si>
  <si>
    <t>Uponor Klett Труба з фіксуючою стрічкою Comfort Pipe PLUS 16x2,0 640m</t>
  </si>
  <si>
    <t>Uponor Tacker Тепло/звукоізоляц. панель EPS DEO 20</t>
  </si>
  <si>
    <t>Uponor Tacker Тепло/звукоізоляц. панель EPS DEO 30</t>
  </si>
  <si>
    <t>Uponor Tacker Тепло/звукоізоляц. рулон EPS DES 30-2mm 10x1m</t>
  </si>
  <si>
    <t>Uponor Tacker Тепло/звукоізоляц. рулон EPS DES 30-3mm 10x1m</t>
  </si>
  <si>
    <t>Uponor Tacker Тепло/звукоізоляц. рулон EPS DES 35-3mm 10x1m</t>
  </si>
  <si>
    <t>Uponor Tacker Тепло/звукоізоляц. рулон EPS DES 40-3mm 10x1m</t>
  </si>
  <si>
    <t>Uponor Tacker Плівка з розміткою 0,2mm 100x1,03m</t>
  </si>
  <si>
    <t>Uponor Fix Анкер для фіксуючої планки</t>
  </si>
  <si>
    <t>Uponor Tacker Якірна скоба 14-17mm h=35mm</t>
  </si>
  <si>
    <t>Uponor Tacker Скоба для степлера стандартна 14-20mm h=40mm</t>
  </si>
  <si>
    <t>Uponor Tacker Якірна скоба 14-20mm h=50mm</t>
  </si>
  <si>
    <t>Uponor Tacker Скоба для степлера довга 55mm</t>
  </si>
  <si>
    <t>Uponor Fix Фіксуючий трак 14-20mm c/c50mm 1m</t>
  </si>
  <si>
    <t>Uponor Fix Фіксуючий трак з шипами 16-20mm c/c 50mm 1m</t>
  </si>
  <si>
    <t>Uponor Fix Фіксуючий трак 9,9mm c/c20mm 2,5m</t>
  </si>
  <si>
    <t>Uponor Fix Фіксуючий трак самокл. 16-20mm c/c 50mm 1m</t>
  </si>
  <si>
    <t>Uponor Fix Скоба для траку h=66mm</t>
  </si>
  <si>
    <t>Uponor Classic Комплект фіксуючих дротів 150x1,25mm 250pcs</t>
  </si>
  <si>
    <t>Uponor Siccus 14 Панель теплоізоляційна EPS 150kPa 14mm 1197x1050x25mm</t>
  </si>
  <si>
    <t>Uponor Siccus 14 Теплорозпод. пластина 14mm 1180x120x0,45mm</t>
  </si>
  <si>
    <t>Uponor Siccus 20 Панель теплоізоляційна EPS 790x1200x30mm</t>
  </si>
  <si>
    <t>Uponor Renovis Панель активна 2000x625mm</t>
  </si>
  <si>
    <t>Uponor Renovis Панель активна 1200x625mm</t>
  </si>
  <si>
    <t>Uponor Renovis Панель активна 800x625mm</t>
  </si>
  <si>
    <t>Uponor Renovis Гіпсова панель без труб 2000x625x15mm</t>
  </si>
  <si>
    <t>Uponor Magna Анкер фіксуючий 25mm</t>
  </si>
  <si>
    <t>Uponor Magna Промислова демпферна стрічка 50m 200x10mm</t>
  </si>
  <si>
    <t>Uponor Magna Гофра для деформ. швів 34/28mm 25m</t>
  </si>
  <si>
    <t>Uponor Magna Базовий комплект колектору K1</t>
  </si>
  <si>
    <t>Uponor Magna Сегмент колектора, різьба 1x3/4Euro</t>
  </si>
  <si>
    <t>Uponor Magna Сегмент колектора, різьба 2x3/4Euro</t>
  </si>
  <si>
    <t>Uponor Magna Сегмент колектора, різьба 3x3/4Euro</t>
  </si>
  <si>
    <t>Uponor Magna Сегмент колектора під PE-X 1x25</t>
  </si>
  <si>
    <t>Uponor Magna Сегмент колектора під PE-X 2x25</t>
  </si>
  <si>
    <t>Uponor Magna Сегмент колектора під PE-X 3x25</t>
  </si>
  <si>
    <t>Uponor Magna Крани колекторні 2x G 1 1/2</t>
  </si>
  <si>
    <t>Uponor Magna Комплект кронштейнів</t>
  </si>
  <si>
    <t>Uponor Magna Витратомір до колектора</t>
  </si>
  <si>
    <t>Uponor Meltaway Труба сніготанення PE-Xa orange 25x2,3 640m</t>
  </si>
  <si>
    <t>Uponor Meltaway Муфта 25X2,3 156 мм</t>
  </si>
  <si>
    <t>Uponor Meltaway ПЕ колектор 75mm 1x12 c/c500 6m</t>
  </si>
  <si>
    <t>Uponor Meltaway ПЕ колектор 110 1x12 c/c500 6m</t>
  </si>
  <si>
    <t>Uponor Meltaway ПЕ колектор 160 1X12 C/C500 6m</t>
  </si>
  <si>
    <t>Uponor Thermatop Активна панель M 950x277mm</t>
  </si>
  <si>
    <t>Uponor Thermatop Активна панель M 1350X277mm</t>
  </si>
  <si>
    <t>Uponor Thermatop Активна панель M 1750X277mm</t>
  </si>
  <si>
    <t>Uponor Thermatop Активна панель M 2150X277mm</t>
  </si>
  <si>
    <t>Uponor Thermatop Активна панель M 2550x277mm</t>
  </si>
  <si>
    <t>Uponor Thermatop Активна панель S 2000x370mm</t>
  </si>
  <si>
    <t>Uponor Thermatop Активна панель S 2500x370mm</t>
  </si>
  <si>
    <t>Uponor Thermatop Активна панель S 3000x370mm</t>
  </si>
  <si>
    <t>Uponor Thermatop Активна панель S 3500x370mm</t>
  </si>
  <si>
    <t>Uponor Thermatop Активна панель S 4000x370mm</t>
  </si>
  <si>
    <t>Uponor Thermatop Активна панель S 4500x370mm</t>
  </si>
  <si>
    <t>Uponor Multi Стягуючий хомут PA 300mm</t>
  </si>
  <si>
    <t>Uponor Multi Стягуючий хомут PA 200mm</t>
  </si>
  <si>
    <t>Uponor Multi Фіксуючий трак 20mm c/c50mm 3m</t>
  </si>
  <si>
    <t>Uponor Magna Фіксуючий трак 25mm c/c50mm 3m</t>
  </si>
  <si>
    <t>Uponor Multi Поліетиленова плівка PE 0,2mm 60x1,25m</t>
  </si>
  <si>
    <t>Uponor Multi Текстурна фольга з розміткою 0,25mm 100x1,03m</t>
  </si>
  <si>
    <t>Uponor Multi Анкер для фольги l=25mm</t>
  </si>
  <si>
    <t>Uponor Multi Демпферна стрічка 150x10mm</t>
  </si>
  <si>
    <t>Uponor Multi Демпферна стрічка 150x8mm</t>
  </si>
  <si>
    <t>Uponor Multi Демпферна стрічка 130x8mm</t>
  </si>
  <si>
    <t>Uponor Multi Демпферна стрічка HB 150x8mm</t>
  </si>
  <si>
    <t>Uponor Multi PE Edging strip with foil HY 150x8mm</t>
  </si>
  <si>
    <t>Uponor Multi Профіль розширювальний 1800x100x10mm</t>
  </si>
  <si>
    <t>Uponor Multi Теплорозподільча пластина AL 20mm 1150x280x0,55mm</t>
  </si>
  <si>
    <t>Uponor Vario PLUS Модульний пласт. колектор FM 1X 3/4 Euro</t>
  </si>
  <si>
    <t>Uponor Vario PLUS Модульний пласт. колектор FM 3X 3/4 Euro</t>
  </si>
  <si>
    <t>Uponor Vario PLUS Модульний пласт. колектор FM 4X 3/4 Euro</t>
  </si>
  <si>
    <t>Uponor Vario PLUS Модульний пласт. колектор FM 6X 3/4 Euro</t>
  </si>
  <si>
    <t>Uponor Vario PLUS Базовий комплект K1</t>
  </si>
  <si>
    <t>Uponor Vario PLUS Сервопривід для баланс. клапанів NC 230V MT30x1,5</t>
  </si>
  <si>
    <t>Uponor Vario PLUS Кутові підводи 122/42</t>
  </si>
  <si>
    <t>Uponor Vario PLUS Штуцер під шланг G3/4 x 1/2</t>
  </si>
  <si>
    <t>Uponor Vario PLUS Фіксатор дистанції</t>
  </si>
  <si>
    <t>Uponor Vario Комплект балансув. клапанів G1 - Rp1</t>
  </si>
  <si>
    <t>Uponor Vario Крани кульові NP G1-G1</t>
  </si>
  <si>
    <t>Uponor Vario Крани кульові 3/4-G1</t>
  </si>
  <si>
    <t>Uponor Vario Кутові крани до колектору Rp 3/4" - G1"</t>
  </si>
  <si>
    <t>Uponor Vario PLUS Витратомір 4 l/min</t>
  </si>
  <si>
    <t>Uponor Vario Регулятор перепаду тиску Compact G1 - G1</t>
  </si>
  <si>
    <t>Uponor Vario C</t>
  </si>
  <si>
    <t>Uponor Vario Комплект авт. розповітрювач + злив NP G1</t>
  </si>
  <si>
    <t>Uponor Vario Комплект руч. розповітрювач + злив NP G1</t>
  </si>
  <si>
    <t>Uponor Vario Комплект колекторних кранів NP G1-G1</t>
  </si>
  <si>
    <t>Uponor Vario S Сервопривід для стал. колекторів NC 230V FT30x1,5</t>
  </si>
  <si>
    <t>Uponor Vario C Сталевий колектор FM 2x3/4 Euro</t>
  </si>
  <si>
    <t>Uponor Vario C Сталевий колектор FM 3x3/4 Euro</t>
  </si>
  <si>
    <t>Uponor Vario C Сталевий колектор FM 4x3/4 Euro</t>
  </si>
  <si>
    <t>Uponor Vario C Сталевий колектор FM 5x3/4 Euro</t>
  </si>
  <si>
    <t>Uponor Vario C Сталевий колектор FM 6x3/4 Euro</t>
  </si>
  <si>
    <t>Uponor Vario C Сталевий колектор FM 7x3/4 Euro</t>
  </si>
  <si>
    <t>Uponor Vario C Сталевий колектор FM 8x3/4 Euro</t>
  </si>
  <si>
    <t>Uponor Vario C Сталевий колектор FM 9x3/4 Euro</t>
  </si>
  <si>
    <t>Uponor Vario C Сталевий колектор FM 10x3/4 Euro</t>
  </si>
  <si>
    <t>Uponor Vario C Сталевий колектор FM 11x3/4 Euro</t>
  </si>
  <si>
    <t>Uponor Vario C Сталевий колектор FM 12x3/4 Euro</t>
  </si>
  <si>
    <t>Uponor Vario C Колектор сталевий без торців FM 2x3/4 Euro</t>
  </si>
  <si>
    <t>Uponor Vario C Колектор сталевий без торців FM 3x3/4 Euro</t>
  </si>
  <si>
    <t>Uponor Vario C Колектор сталевий без торців FM 4x3/4 Euro</t>
  </si>
  <si>
    <t>Uponor Vario C Колектор сталевий без торців FM 5x3/4 Euro</t>
  </si>
  <si>
    <t>Uponor Vario C Колектор сталевий без торців FM 6x3/4 Euro</t>
  </si>
  <si>
    <t>Uponor Vario C Колектор сталевий без торців FM 7x3/4 Euro</t>
  </si>
  <si>
    <t>Uponor Vario C Колектор сталевий без торців FM 8x3/4 Euro</t>
  </si>
  <si>
    <t>Uponor Vario C Колектор сталевий без торців FM 9x3/4 Euro</t>
  </si>
  <si>
    <t>Uponor Vario C Колектор сталевий без торців FM 10x3/4 Euro</t>
  </si>
  <si>
    <t>Uponor Vario C Колектор сталевий без торців FM 11x3/4 Euro</t>
  </si>
  <si>
    <t>Uponor Vario C Колектор сталевий без торців FM 12x3/4 Euro</t>
  </si>
  <si>
    <t>Uponor Vario C Ст. колектор без витратомірів і торців LS 2x3/4 Euro</t>
  </si>
  <si>
    <t>Uponor Vario C Ст. колектор без витратомірів і торців LS 3x3/4 Euro</t>
  </si>
  <si>
    <t>Uponor Vario C Ст. колектор без витратомірів і торців LS 4x3/4 Euro</t>
  </si>
  <si>
    <t>Uponor Vario C Ст. колектор без витратомірів і торців LS 5x3/4 Euro</t>
  </si>
  <si>
    <t>Uponor Vario C Ст. колектор без витратомірів і торців LS 6x3/4 Euro</t>
  </si>
  <si>
    <t>Uponor Vario C Ст. колектор без витратомірів і торців LS 7x3/4 Euro</t>
  </si>
  <si>
    <t>Uponor Vario C Ст. колектор без витратомірів і торців LS 8x3/4 Euro</t>
  </si>
  <si>
    <t>Uponor Vario C Ст. колектор без витратомірів і торців LS 9x3/4 Euro</t>
  </si>
  <si>
    <t>Uponor Vario C Ст. колектор без витратомірів і торців LS 10x3/4 Euro</t>
  </si>
  <si>
    <t>Uponor Vario C Ст. колектор без витратомірів і торців LS 11x3/4 Euro</t>
  </si>
  <si>
    <t>Uponor Vario C Ст. колектор без витратомірів і торців LS 12x3/4 Euro</t>
  </si>
  <si>
    <t>Uponor Vario Шафа колекторна вмонтована IW 550x730x110mm</t>
  </si>
  <si>
    <t>Uponor Vario Шафа колекторна вмонтована IW 700x730x110mm</t>
  </si>
  <si>
    <t>Uponor Vario Шафа колекторна вмонтована IW 850x730x110mm</t>
  </si>
  <si>
    <t>Uponor Vario Шафа колекторна вмонтована IW 1000x730x110mm</t>
  </si>
  <si>
    <t>Uponor Vario Шафа колекторна вмонтована IW 1150x730x110mm</t>
  </si>
  <si>
    <t>Uponor Vario Шафа колекторна вмонтована IW 1300x730x110mm</t>
  </si>
  <si>
    <t>Uponor Vario Двері до шафи сталеві IW S 550x730mm</t>
  </si>
  <si>
    <t>Uponor Vario Двері до шафи сталеві IW S 700x730mm</t>
  </si>
  <si>
    <t>Uponor Vario Двері до шафи сталеві IW S 850x730mm</t>
  </si>
  <si>
    <t>Uponor Vario Двері до шафи сталеві IW S 1000x730mm</t>
  </si>
  <si>
    <t>Uponor Vario Двері до шафи сталеві IW S 1150x730mm</t>
  </si>
  <si>
    <t>Uponor Vario Двері до шафи сталеві IW S 1300x730mm</t>
  </si>
  <si>
    <t>Uponor Vario Двері до шафи пластикові IW P 550x730mm</t>
  </si>
  <si>
    <t>Uponor Vario Двері до шафи пластикові IW P 700x730mm</t>
  </si>
  <si>
    <t>Uponor Vario Двері до шафи пластикові IW P 850x730mm</t>
  </si>
  <si>
    <t>Uponor Vario Двері до шафи пластикові IW P 1000x730mm</t>
  </si>
  <si>
    <t>Uponor Vario Двері до шафи пластикові IW P 1150x730mm</t>
  </si>
  <si>
    <t>Uponor Vario Двері до шафи пластикові IW P 1300x730mm</t>
  </si>
  <si>
    <t>Uponor Vario C Шафа колекторна вмонтована IW 535x649x110</t>
  </si>
  <si>
    <t>Uponor Vario C Шафа колекторна вмонтована IW 680x649x110</t>
  </si>
  <si>
    <t>Uponor Vario C Шафа колекторна вмонтована IW 835x649x110</t>
  </si>
  <si>
    <t>Uponor Vario C Шафа колекторна вмонтована IW 1035x649x110</t>
  </si>
  <si>
    <t>Uponor Vario C Шафа колекторна вмонтована IW 1135 x649x110</t>
  </si>
  <si>
    <t>Uponor Vario Шафа настінна OW 450x730x135</t>
  </si>
  <si>
    <t>Uponor Vario Шафа настінна OW 600x730x135</t>
  </si>
  <si>
    <t>Uponor Vario Шафа настінна OW 750x730x135</t>
  </si>
  <si>
    <t>Uponor Vario Шафа настінна OW 900x730x135</t>
  </si>
  <si>
    <t>Uponor Vario Шафа настінна OW 1050x730x135</t>
  </si>
  <si>
    <t>Uponor Vario Шафа настінна OW 1200x730x135</t>
  </si>
  <si>
    <t>Uponor Vario Шафа настінна OW 1350x730x135</t>
  </si>
  <si>
    <t>Uponor Vario Шафа настінна OW 1550x730x135</t>
  </si>
  <si>
    <t>Uponor Vario Задня стінка для шафи OW 450x730</t>
  </si>
  <si>
    <t>Uponor Vario Задня стінка для шафи OW 600x730</t>
  </si>
  <si>
    <t>Uponor Vario Задня стінка для шафи OW 750x730</t>
  </si>
  <si>
    <t>Uponor Vario Задня стінка для шафи OW 900x730</t>
  </si>
  <si>
    <t>Uponor Vario Задня стінка для шафи OW 1050x730</t>
  </si>
  <si>
    <t>Uponor Vario Задня стінка для шафи OW 1200x730</t>
  </si>
  <si>
    <t>Uponor Vario Задня стінка для шафи OW 1350x730</t>
  </si>
  <si>
    <t>Uponor Vario Задня стінка для шафи OW 1550x730</t>
  </si>
  <si>
    <t>Uponor Vario Замок до шафи</t>
  </si>
  <si>
    <t>Uponor Vario Колекторна рейка</t>
  </si>
  <si>
    <t>Uponor Vario Шафа настінна NT 555x160mm</t>
  </si>
  <si>
    <t>Uponor Vario Шафа настінна NT 705x160mm</t>
  </si>
  <si>
    <t>Uponor Vario Шафа настінна NT 785x160mm</t>
  </si>
  <si>
    <t>Uponor Vario Шафа настінна NT 950x160mm</t>
  </si>
  <si>
    <t>Uponor Magna Шафа промислова настінна 1010x835x200mm</t>
  </si>
  <si>
    <t>Uponor Magna Шафа промислова настінна 1910x835x200mm</t>
  </si>
  <si>
    <t>Uponor Magna Шафа промислова настінна 2310x835x200mm</t>
  </si>
  <si>
    <t>Uponor Smatrix Move PRO Контролер топочної X-159</t>
  </si>
  <si>
    <t>Uponor Smatrix Move PRO Комплект сніготанення S-152 + S-158</t>
  </si>
  <si>
    <t>Uponor Smatrix Move PRO Кімнатний датчик темп. S-155</t>
  </si>
  <si>
    <t>Uponor Smatrix Move PRO Датчик вологості S-157</t>
  </si>
  <si>
    <t>Uponor Smatrix Move PRO Набір конденсації S-159</t>
  </si>
  <si>
    <t>Uponor Smatrix Move Контролер топочної X-157 Wired</t>
  </si>
  <si>
    <t>Uponor Smatrix Move Антена A-155 Radio</t>
  </si>
  <si>
    <t>Uponor Smatrix Move Датчик темп. теплоносія S-152 3m</t>
  </si>
  <si>
    <t>Uponor Smatrix Move Електропривод (3 точки) 230V</t>
  </si>
  <si>
    <t>Uponor Smatrix Move Датчик зовн. температури S-1XX</t>
  </si>
  <si>
    <t>Uponor Fluvia Трійник Y-подібний під Євроконус 2xG3/4-3/4"Euro</t>
  </si>
  <si>
    <t>Uponor Fluvia Заглушка для колектора G3/4</t>
  </si>
  <si>
    <t>Uponor Fluvia T Насосно-зміш. блок 10 кВт Push-23-B-W</t>
  </si>
  <si>
    <t>Uponor Fluvia Move Насосно-зміш. блок 10 кВт MPG-10-A-W</t>
  </si>
  <si>
    <t>Uponor Fluvia T Насосно-змішувальна група KRS-6</t>
  </si>
  <si>
    <t>Uponor Fluvia Move Насосно-змішувальна група CPG-15-C-W</t>
  </si>
  <si>
    <t>Uponor Fluvia Move PLUS Сервопривід 230V</t>
  </si>
  <si>
    <t>Uponor Fluvia Move Станція пас. охолодж. EPG-6-A-W</t>
  </si>
  <si>
    <t>Uponor Fluvia Група безпеки н/ж. під розш. бак inox 3 bar</t>
  </si>
  <si>
    <t>Uponor Fluvia Група безпеки н/ж. під розш. бак inox 6 bar</t>
  </si>
  <si>
    <t>Uponor Fluvia Група безпеки н/ж. inox 3 bar</t>
  </si>
  <si>
    <t>Uponor Fluvia Група безпеки н/ж. inox 6 bar</t>
  </si>
  <si>
    <t>Uponor Fluvia Група безпеки стал. під розш. бак 3 bar</t>
  </si>
  <si>
    <t>Uponor Fluvia Група безпеки стал. 3 bar</t>
  </si>
  <si>
    <t>Uponor Fluvia Група безпеки стал. 6 bar</t>
  </si>
  <si>
    <t>Uponor Fluvia Група безпеки котла 3 bar</t>
  </si>
  <si>
    <t>Uponor Smatrix Wave Стартовий пакет (1+3) Pulse S</t>
  </si>
  <si>
    <t>Uponor Smatrix Wave Стартовий пакет (2+5) Pulse L</t>
  </si>
  <si>
    <t>Uponor Smatrix Wave Контролер Pulse X-265 6X</t>
  </si>
  <si>
    <t>Uponor Smatrix Wave Модуль розширення Pulse M-262 6X</t>
  </si>
  <si>
    <t>Uponor Smatrix Wave Запасна антена Pulse A-265</t>
  </si>
  <si>
    <t>Uponor Smatrix Wave Бездротове реле M-161 2X</t>
  </si>
  <si>
    <t>Uponor Smatrix Wave Бездротовий термогігрометр Style T-169</t>
  </si>
  <si>
    <t>Uponor Smatrix Wave Бездротовий термогігрометр Style T-169 BLACK</t>
  </si>
  <si>
    <t>Uponor Smatrix Wave Бездротовий термогігрометр Style T-161</t>
  </si>
  <si>
    <t>Uponor Smatrix Wave Бездрот. термостат прогр. T-168 RAL9016</t>
  </si>
  <si>
    <t>Uponor Smatrix Wave Термостат Public T-163 RAL9016</t>
  </si>
  <si>
    <t>Uponor Smatrix Base Стартовий пакет (1+3) Pulse S</t>
  </si>
  <si>
    <t>Uponor Smatrix Base Стартовий пакет (2+5) Pulse L</t>
  </si>
  <si>
    <t>Uponor Smatrix Base Контролер Pulse X-245 BUS 6X</t>
  </si>
  <si>
    <t>Uponor Smatrix Base Модуль розширення Pulse M-242 BUS 6X</t>
  </si>
  <si>
    <t>Uponor Smatrix Base Комутаційний модуль "зірка" Pulse M-243 BUS 6X</t>
  </si>
  <si>
    <t>Uponor Smatrix Base Дротовий термогігрометр Style T-149 Bus</t>
  </si>
  <si>
    <t>Uponor Smatrix Base Дротовий термогігрометр Style T-149 Bus BLACK</t>
  </si>
  <si>
    <t>Uponor Smatrix Base Дрот. термостат прогр. T-148 Bus RAL9016</t>
  </si>
  <si>
    <t>Uponor Smatrix Base Термостат Public T-143 Bus RAL9016</t>
  </si>
  <si>
    <t>Uponor Smatrix Base Кабель 4-жильний A-145 50m</t>
  </si>
  <si>
    <t>Uponor Smatrix Base PRO Контролер X-148 Modbus RTU</t>
  </si>
  <si>
    <t>Uponor Smatrix Base Розширювальний модуль M-140 Bus 6X</t>
  </si>
  <si>
    <t>Uponor Smatrix Base Модуль підключення "зірка" M-141 Bus 8X</t>
  </si>
  <si>
    <t>Uponor Smatrix Base PRO Дротова панель I-147 Bus</t>
  </si>
  <si>
    <t>Uponor Smatrix Base PRO Термостат +RH Style T-141 Bus FLUSH</t>
  </si>
  <si>
    <t>Uponor Smatrix Base Рамка під термостат T-141</t>
  </si>
  <si>
    <t>Uponor Smatrix Base PRO KNX-шлюз R-147 KNX</t>
  </si>
  <si>
    <t>Uponor Base Контролер дротовий X-23 6X 230V</t>
  </si>
  <si>
    <t>Uponor Base Термостат дисковий T-23 230V RAL9010</t>
  </si>
  <si>
    <t>Uponor Base Термостат цифровий T-27 230V RAL9016</t>
  </si>
  <si>
    <t>Uponor Base Термостат цифровий дротовий T-26 230V RAL9010</t>
  </si>
  <si>
    <t>Uponor Base Датчик виносний (підлоги) 230V</t>
  </si>
  <si>
    <t>Uponor Vario Сервопривід Retrofit з насадками A-XXX 24V, NC, 1W</t>
  </si>
  <si>
    <t>Uponor Smatrix Датчик виносний (підлоги) S-1XX</t>
  </si>
  <si>
    <t>Uponor Comfort E -Ел. гріючий мат 160-1</t>
  </si>
  <si>
    <t>Uponor Comfort E -Ел. гріючий мат 160-1,5</t>
  </si>
  <si>
    <t>Uponor Comfort E -Ел. гріючий мат 160-2</t>
  </si>
  <si>
    <t>Uponor Comfort E -Ел. гріючий мат 160-2,5</t>
  </si>
  <si>
    <t>Uponor Comfort E -Ел. гріючий мат 160-3</t>
  </si>
  <si>
    <t>Uponor Comfort E -Ел. гріючий мат 160-4</t>
  </si>
  <si>
    <t>Uponor Comfort E -Ел. гріючий мат 160-5</t>
  </si>
  <si>
    <t>Uponor Comfort E -Ел. гріючий мат 160-6</t>
  </si>
  <si>
    <t>Uponor Comfort E -Ел. гріючий мат 160-7</t>
  </si>
  <si>
    <t>Uponor Comfort E -Ел. гріючий мат 160-8</t>
  </si>
  <si>
    <t>Uponor Comfort E -Ел. гріючий мат 160-10</t>
  </si>
  <si>
    <t>Uponor Comfort E -Ел. гріючий мат 160-12</t>
  </si>
  <si>
    <t>Uponor Comfort E Термостат з датч. підлоги set T-85 230V</t>
  </si>
  <si>
    <t>Uponor Comfort E Прог. термостат flush Set T-86 230V</t>
  </si>
  <si>
    <t>Uponor Comfort E Прог. термостат flush Set T-87IF 230V</t>
  </si>
  <si>
    <t>Uponor Ecoflex VIP Thermo Труба в бухті 6 бар Single 140x12,7/200</t>
  </si>
  <si>
    <t>Uponor Ecoflex VIP Thermo Труба в бухті 6 бар Single 160x14,6/250</t>
  </si>
  <si>
    <t>Uponor Ecoflex Thermo Труба з гріючим кабелем Single 25x2,3/140 1x12W/m 70degC</t>
  </si>
  <si>
    <t>Uponor Ecoflex Thermo Труба з гріючим кабелем Single 32x2,9/140 1x12W/m 70degC</t>
  </si>
  <si>
    <t>Uponor Ecoflex Thermo Труба з гріючим кабелем Single 40x3,7/175 1x12W/m 70degC</t>
  </si>
  <si>
    <t>Uponor Ecoflex Thermo Труба з гріючим кабелем Single 50x4,6/175 1x12W/m 70degC</t>
  </si>
  <si>
    <t>Uponor Ecoflex Thermo Труба з гріючим кабелем Single 63x5,8/175 1x12W/m 70degC</t>
  </si>
  <si>
    <t>Uponor Ecoflex Thermo Труба з гріючим кабелем Single 75x6,8/200 1x12W/m 70degC</t>
  </si>
  <si>
    <t>Uponor Ecoflex Thermo Труба з гріючим кабелем Single 90x8,2/200 1x12W/m 70degC</t>
  </si>
  <si>
    <t>Uponor Ecoflex Thermo Труба з гріючим кабелем Single 110x10,0/200 1x12W/m 70degC</t>
  </si>
  <si>
    <t>Uponor Ecoflex VIP Aqua Труба в бухті 10 бар Twin 63x8,6-40x5,5/200</t>
  </si>
  <si>
    <t>Uponor Ecoflex Aqua Труба в бухті 10 бар Single 32x4,4/140</t>
  </si>
  <si>
    <t>Uponor Ecoflex Aqua Труба в бухті 10 бар Single 40x5,5/175</t>
  </si>
  <si>
    <t>Uponor Ecoflex Aqua Труба в бухті 10 бар Single 50x6,9/175</t>
  </si>
  <si>
    <t>Uponor Ecoflex Aqua Труба в бухті 10 бар Single 63x8,6/175</t>
  </si>
  <si>
    <t>Uponor Ecoflex Aqua Труба в бухті 10 бар Twin 25x3,5-20x2,8/140</t>
  </si>
  <si>
    <t>Uponor Ecoflex Aqua Труба в бухті 10 бар Twin 32x4,4-20x2,8/175</t>
  </si>
  <si>
    <t>Uponor Ecoflex Aqua Труба в бухті 10 бар Twin 40x5,5-25x3,5/175</t>
  </si>
  <si>
    <t>Uponor Ecoflex Aqua Труба в бухті 10 бар Twin 40x5,5-32x4,4/175</t>
  </si>
  <si>
    <t>Uponor Ecoflex Aqua Труба в бухті 10 бар Twin 50x6,9-25x3,5/175</t>
  </si>
  <si>
    <t>Uponor Ecoflex Aqua Труба в бухті 10 бар Twin 50x6,9-32x4,4/175</t>
  </si>
  <si>
    <t>Uponor Ecoflex Aqua Труба в бухті 10 бар Twin 50x6,9-40x5,5/200</t>
  </si>
  <si>
    <t>Uponor Ecoflex Aqua Труба в бухті 10 бар Twin 50x6,9-50x6,9/200</t>
  </si>
  <si>
    <t>Uponor Ecoflex Quattro Труба в бухті 2x25x2,3-25x3,5-20x2,8/175</t>
  </si>
  <si>
    <t>Uponor Ecoflex Quattro Труба в бухті 2x25x2,3-2x25x3,5/175</t>
  </si>
  <si>
    <t>Uponor Ecoflex Quattro Труба в бухті 2x32x2,9-25x3,5-20x2,8/175</t>
  </si>
  <si>
    <t>Uponor Ecoflex Quattro Труба в бухті 2x32x2,9-2x25x3,5/175</t>
  </si>
  <si>
    <t>Uponor Ecoflex Quattro Труба в бухті 2x32x2,9-32x4,4-20x2,8/175</t>
  </si>
  <si>
    <t>Uponor Ecoflex Quattro Труба в бухті 2x32x2,9-32x4,4-25x3,5/175</t>
  </si>
  <si>
    <t>Uponor Ecoflex Quattro Труба в бухті 2x32x2,9-2x32x4,4/175</t>
  </si>
  <si>
    <t>Uponor Ecoflex Quattro Труба в бухті 2x40x3,7-40x5,5-25x3,5/200</t>
  </si>
  <si>
    <t>Uponor Ecoflex Quattro Труба в бухті 2x40x3,7-32x4,4-20x2,8/200</t>
  </si>
  <si>
    <t>Uponor Ecoflex Quattro Труба в бухті Midi 2x25x2,3-25x3,5-20x2,8/140</t>
  </si>
  <si>
    <t>Uponor Ecoflex Quattro Труба в бухті Midi 2x32x2,9-25x3,5-20x2,8/140</t>
  </si>
  <si>
    <t>Uponor Ecoflex Quattro Труба в бухті Midi 2x40x3,7-32x4,4-25x3,5/175</t>
  </si>
  <si>
    <t>Uponor Ecoflex Supra Труба в бухті чорна 25x2,3/68</t>
  </si>
  <si>
    <t>Uponor Ecoflex Supra Труба в бухті чорна 32x2,9/68</t>
  </si>
  <si>
    <t>Uponor Ecoflex Supra Труба в бухті чорна 40x3,7/140</t>
  </si>
  <si>
    <t>Uponor Ecoflex Supra Труба в бухті чорна 50x4,6/140</t>
  </si>
  <si>
    <t>Uponor Ecoflex Supra Труба в бухті чорна 63x5,8/140</t>
  </si>
  <si>
    <t>Uponor Ecoflex Supra Труба в бухті чорна 75x6,8/175</t>
  </si>
  <si>
    <t>Uponor Ecoflex Supra Труба в бухті чорна 90x8,2/175</t>
  </si>
  <si>
    <t>Uponor Ecoflex Supra Труба в бухті чорна 110x10,0/200</t>
  </si>
  <si>
    <t>Uponor Ecoflex Supra PLUS Труба з кабелем 16 бар cable 25x2,3/68 1x10W/m</t>
  </si>
  <si>
    <t>Uponor Ecoflex Supra PLUS Труба з кабелем 16 бар cable 32x2,9/68 1x10W/m</t>
  </si>
  <si>
    <t>Uponor Ecoflex Supra PLUS Труба з кабелем 16 бар cable 32x2,9/140 1x10W/m</t>
  </si>
  <si>
    <t>Uponor Ecoflex Supra PLUS Труба з кабелем 16 бар cable 40x3,7/90 1x10W/m</t>
  </si>
  <si>
    <t>Uponor Ecoflex Supra PLUS Труба з кабелем 16 бар cable 40x3,7/140 1x10W/m</t>
  </si>
  <si>
    <t>Uponor Ecoflex Supra PLUS Труба з кабелем 16 бар cable 50x4,6/90 1x10W/m</t>
  </si>
  <si>
    <t>Uponor Ecoflex Supra PLUS Труба з кабелем 16 бар cable 50x4,6/140 1x10W/m</t>
  </si>
  <si>
    <t>Uponor Ecoflex Supra PLUS Труба з кабелем 16 бар cable 63x5,8/140 1x10W/m</t>
  </si>
  <si>
    <t>Uponor Ecoflex Supra PLUS Труба з кабелем 16 бар cable 75x6,8/175 1x10W/m</t>
  </si>
  <si>
    <t>Uponor Ecoflex Supra PLUS Труба з кабелем 16 бар cable 90x8,2/200 1x10W/m</t>
  </si>
  <si>
    <t>Uponor Ecoflex Supra PLUS Труба з кабелем 16 бар cable 110x10,0/200 1x10W/m</t>
  </si>
  <si>
    <t>Uponor Ecoflex Supra PLUS Комплект підкл. і закінчення 25+32/68</t>
  </si>
  <si>
    <t>Uponor Ecoflex Supra PLUS Комплект підкл. і закінчення 40+50/90</t>
  </si>
  <si>
    <t>Uponor Ecoflex Supra PLUS Комплект підкл. і закінчення 40+50+63/140</t>
  </si>
  <si>
    <t>Uponor Ecoflex Supra PLUS Комплект підкл. і закінчення 75/175</t>
  </si>
  <si>
    <t>Uponor Ecoflex Supra PLUS Комплект підкл. і закінчення 90+110/200</t>
  </si>
  <si>
    <t>Uponor Ecoflex Supra PLUS Блок управління</t>
  </si>
  <si>
    <t>Uponor Ecoflex Supra PLUS Ел. набір підкл. і закінчення S1</t>
  </si>
  <si>
    <t>Uponor Ecoflex Supra PLUS Ел. набір Т-з'єдн. і закінчення S2</t>
  </si>
  <si>
    <t>Uponor Ecoflex Supra PLUS Комплект прямого з'єднання 68+90</t>
  </si>
  <si>
    <t>Uponor Ecoflex Supra PLUS Комплект для трійника 140/90/68</t>
  </si>
  <si>
    <t>Uponor Ecoflex Supra PLUS Комплект для трійника 200/175/140</t>
  </si>
  <si>
    <t>Uponor Wipex Перехід на різьбу PN6 25x2,3-G1</t>
  </si>
  <si>
    <t>Uponor Wipex Перехід на різьбу PN6 32x2,9-G1</t>
  </si>
  <si>
    <t>Uponor Wipex Перехід на різьбу PN6 40x3,7-G1 1/4</t>
  </si>
  <si>
    <t>Uponor Wipex Перехід на різьбу PN6 50x4,6-G1 1/4</t>
  </si>
  <si>
    <t>Uponor Wipex Перехід на різьбу PN6 63x5,8-G2</t>
  </si>
  <si>
    <t>Uponor Wipex Перехід на різьбу PN6 75x6,8-G2</t>
  </si>
  <si>
    <t>Uponor Wipex Перехід на різьбу PN6 90x8,2-G3</t>
  </si>
  <si>
    <t>Uponor Wipex Перехід на різьбу PN6 110x10,0-G3</t>
  </si>
  <si>
    <t>Uponor Ecoflex Перехід на різьбу PN6 125x11,4-R4</t>
  </si>
  <si>
    <t>Uponor Wipex Перехід на різьбу PN6 140x12,7-R4</t>
  </si>
  <si>
    <t>Uponor Wipex Перехід на різьбу PN6 160x14,6-R5</t>
  </si>
  <si>
    <t>Uponor Wipex Перехід на різьбу PN10 25x3,5-G1</t>
  </si>
  <si>
    <t>Uponor Wipex Перехід на різьбу PN10 32x4,4-G1</t>
  </si>
  <si>
    <t>Uponor Wipex Перехід на різьбу PN10 40x5,5-G1 1/4</t>
  </si>
  <si>
    <t>Uponor Wipex Перехід на різьбу PN10 50x6,9-G1 1/4</t>
  </si>
  <si>
    <t>Uponor Wipex Перехід на різьбу PN10 63x8,6-G2</t>
  </si>
  <si>
    <t>Uponor Wipex Перехід на різьбу PN10 75x10,3-G2</t>
  </si>
  <si>
    <t>Uponor Wipex Перехід на різьбу PN10 90x12,3-G3</t>
  </si>
  <si>
    <t>Uponor Wipex Перехід на різьбу PN10 110x15,1-G3</t>
  </si>
  <si>
    <t>Uponor Wipex Муфта PN6 25x2,3-25x2,3</t>
  </si>
  <si>
    <t>Uponor Wipex Пряме з'єднання PN6 32x2,9-32x2,9</t>
  </si>
  <si>
    <t>Uponor Wipex Пряме з'єднання PN6 40x3,7-40x3,7</t>
  </si>
  <si>
    <t>Uponor Wipex Пряме з'єднання PN6 50x4,6-50x4,6</t>
  </si>
  <si>
    <t>Uponor Wipex Пряме з'єднання PN6 63x5,8-63x5,8</t>
  </si>
  <si>
    <t>Uponor Wipex Пряме з'єднання PN6 75x6,8-75x6,8</t>
  </si>
  <si>
    <t>Uponor Wipex Пряме з'єднання PN6 90x8,2-90x8,2</t>
  </si>
  <si>
    <t>Uponor Wipex Пряме з'єднання PN6 110x10-110x10</t>
  </si>
  <si>
    <t>Uponor Ecoflex Пряме з'єднання PN6 125x11,4-125x11,4</t>
  </si>
  <si>
    <t>Uponor Wipex Пряме з'єднання PN6 140x12,7-140x12,7</t>
  </si>
  <si>
    <t>Uponor Wipex Пряме з'єднання PN6 160x14,6-160x14,6</t>
  </si>
  <si>
    <t>Uponor Wipex Пряме з'єднання PN10 25x3,5-25x3,5</t>
  </si>
  <si>
    <t>Uponor Wipex Пряме з'єднання PN10 32x4,4-32x4,4</t>
  </si>
  <si>
    <t>Uponor Wipex Пряме з'єднання PN10 40x5,5-40x5,5</t>
  </si>
  <si>
    <t>Uponor Wipex Пряме з'єднання PN10 50x6,9-50x6,9</t>
  </si>
  <si>
    <t>Uponor Wipex Пряме з'єднання PN10 63x8,6-63x8,6</t>
  </si>
  <si>
    <t>Uponor Wipex Трійник базовий G1-G1-G1</t>
  </si>
  <si>
    <t>Uponor Wipex Трійник базовий G1 1/4-G1 1/4-G1 1/4</t>
  </si>
  <si>
    <t>Uponor Wipex Трійник базовий G2-G2-G2</t>
  </si>
  <si>
    <t>Uponor Wipex Трійник базовий G3-G3-G3</t>
  </si>
  <si>
    <t>Uponor Ecoflex Трійник базовий Rp4-Rp4-Rp4</t>
  </si>
  <si>
    <t>Uponor Wipex Трійник базовий Rp5-Rp5-Rp5</t>
  </si>
  <si>
    <t>Uponor Wipex Коліно базове G1-G1</t>
  </si>
  <si>
    <t>Uponor Wipex Коліно базове G1 1/4-G1 1/4</t>
  </si>
  <si>
    <t>Uponor Wipex Коліно базове G2-G2</t>
  </si>
  <si>
    <t>Uponor Wipex Коліно базове G3-G3</t>
  </si>
  <si>
    <t>Uponor Ecoflex Коліно базове Rp4-Rp4</t>
  </si>
  <si>
    <t>Uponor Wipex Коліно базове Rp5-Rp5</t>
  </si>
  <si>
    <t>Uponor Wipex Муфта базова G1-G1</t>
  </si>
  <si>
    <t>Uponor Wipex Муфта базова G1 1/4-G1 1/4</t>
  </si>
  <si>
    <t>Uponor Wipex Муфта базова G2-G2</t>
  </si>
  <si>
    <t>Uponor Wipex Муфта базова G3-G3</t>
  </si>
  <si>
    <t>Uponor Wipex Адаптер-футорка G1 1/4-G1</t>
  </si>
  <si>
    <t>Uponor Wipex Адаптер-футорка G1 1/2-G1 1/4</t>
  </si>
  <si>
    <t>Uponor Wipex Адаптер-футорка G2-G1</t>
  </si>
  <si>
    <t>Uponor Wipex Адаптер-футорка G2-G1 1/4</t>
  </si>
  <si>
    <t>Uponor Wipex Адаптер-футорка G2 1/2-G2</t>
  </si>
  <si>
    <t>Uponor Wipex Адаптер-футорка G3-G1</t>
  </si>
  <si>
    <t>Uponor Wipex Адаптер-футорка G3-G1 1/4</t>
  </si>
  <si>
    <t>Uponor Wipex Адаптер-футорка G3-G2</t>
  </si>
  <si>
    <t>Uponor Wipex Адаптер-футорка G4-G3</t>
  </si>
  <si>
    <t>Uponor Ecoflex Адаптер-футорка R4-G3</t>
  </si>
  <si>
    <t>Uponor Wipex Адаптер-футорка R5-G4</t>
  </si>
  <si>
    <t>Uponor Wipex Фланець F25/4-85/G1</t>
  </si>
  <si>
    <t>Uponor Wipex Фланець F32/4-100/G1 1/4</t>
  </si>
  <si>
    <t>Uponor Wipex Фланець F40/4-110/G1 1/2</t>
  </si>
  <si>
    <t>Uponor Wipex Фланець F50/4-125/G2</t>
  </si>
  <si>
    <t>Uponor Wipex Фланець F65/8-145/2 1/2</t>
  </si>
  <si>
    <t>Uponor Wipex Фланець F80/8-160/G3</t>
  </si>
  <si>
    <t>Uponor Wipex Фланець F100/8-180/G4</t>
  </si>
  <si>
    <t>Uponor Wipex Фланець F125/8-200/ Rp5</t>
  </si>
  <si>
    <t>-</t>
  </si>
  <si>
    <t>Uponor Wipex Ніпель шарнірний G1</t>
  </si>
  <si>
    <t>Uponor Wipex Ніпель шарнірний G1 1/4-G1</t>
  </si>
  <si>
    <t>Uponor Wipex Ніпель шарнірний G1 1/4</t>
  </si>
  <si>
    <t>Uponor Wipex Ніпель шарнірний G2-G1 1/4</t>
  </si>
  <si>
    <t>Uponor Wipex Ніпель шарнірний G2</t>
  </si>
  <si>
    <t>Uponor Wipex Ніпель шарнірний G3-G2</t>
  </si>
  <si>
    <t>Uponor Wipex Ніпель шарнірний G3</t>
  </si>
  <si>
    <t>Uponor Wipex Муфта місця кріплення G1</t>
  </si>
  <si>
    <t>Uponor Wipex Муфта місця кріплення G1 1/4</t>
  </si>
  <si>
    <t>Uponor Wipex Муфта місця кріплення G2</t>
  </si>
  <si>
    <t>Uponor Wipex Муфта місця кріплення G3</t>
  </si>
  <si>
    <t>Uponor Wipex Перехід на сталеву трубу ST PN6 EU+GOST 25x2,3-26,9</t>
  </si>
  <si>
    <t>Uponor Wipex Перехід на сталеву трубу ST PN6 EU 32x2,9-33,7</t>
  </si>
  <si>
    <t>Uponor Wipex Перехід на сталеву трубу ST PN6 GOST 32x2,9-32</t>
  </si>
  <si>
    <t>Uponor Wipex Перехід на сталеву трубу ST PN6 EU 40x3,7-42,4</t>
  </si>
  <si>
    <t>Uponor Wipex Перехід на сталеву трубу ST PN6 GOST 40x3,7-38</t>
  </si>
  <si>
    <t>Uponor Wipex Перехід на сталеву трубу ST PN6 EU 50x4,6-48,3</t>
  </si>
  <si>
    <t>Uponor Wipex Перехід на сталеву трубу ST PN6 GOST 50x4,6-45</t>
  </si>
  <si>
    <t>Uponor Wipex Перехід на сталеву трубу ST PN6 EU 63x5,8-60,3</t>
  </si>
  <si>
    <t>Uponor Wipex Перехід на сталеву трубу ST PN6 GOST 63x5,8-57</t>
  </si>
  <si>
    <t>Uponor Wipex Перехід на сталеву трубу ST PN6 EU+GOST 75x6,8-76,1</t>
  </si>
  <si>
    <t>Uponor Wipex Перехід на сталеву трубу ST PN6 EU+GOST 90x8,2-88,9</t>
  </si>
  <si>
    <t>Uponor Wipex Перехід на сталеву трубу ST PN6 EU 110x10,0-114.3</t>
  </si>
  <si>
    <t>Uponor Wipex Перехід на сталеву трубу ST PN6 GOST 110x10,0-108</t>
  </si>
  <si>
    <t>Uponor Wipex Перехід на сталеву трубу ST PN6 EU+GOST 125x11,4-114,3</t>
  </si>
  <si>
    <t>Uponor Wipex Перехід на сталеву трубу ST PN6 EU 140x12,7-139/123</t>
  </si>
  <si>
    <t>Uponor Wipex Перехід на сталеву трубу ST PN6 EU 160x14,6-159/135</t>
  </si>
  <si>
    <t>Uponor Wipex Перехід на сталеву трубу ST PN10 GOST 40x5,5-38</t>
  </si>
  <si>
    <t>Uponor Wipex Перехід на сталеву трубу ST PN10 GOST 50x6,9-45</t>
  </si>
  <si>
    <t>Uponor Wipex Перехід на сталеву трубу ST PN10 GOST 63x8,7-57</t>
  </si>
  <si>
    <t>Uponor Wipex Перехід на сталеву трубу ST PN10 EU+GOST 75x10,3-76,1</t>
  </si>
  <si>
    <t>Uponor Wipex Перехід на сталеву трубу ST PN10 EU+GOST 90x12,3-88,9</t>
  </si>
  <si>
    <t>Uponor Wipex Перехід на сталеву трубу ST PN10 GOST 110x15,1-108</t>
  </si>
  <si>
    <t>Uponor Wipex Перехідник Al/Pex - PEXa S-Press PN6 32x2,9-32x3,0</t>
  </si>
  <si>
    <t>Uponor Wipex Перехідник Al/Pex - PEXa S-Press PN6 40x3,7-40x4,0</t>
  </si>
  <si>
    <t>Uponor Wipex Перехідник Al/Pex - PEXa S-Press PN6 50x4,6-50x4,5</t>
  </si>
  <si>
    <t>Uponor Wipex Адаптер RS PN6 DR 63x5,8 RS2</t>
  </si>
  <si>
    <t>Uponor Wipex Адаптер RS PN6 DR 75x6,8 RS2</t>
  </si>
  <si>
    <t>Uponor Wipex Адаптер RS PN6 DR 90x8,2 RS3</t>
  </si>
  <si>
    <t>Uponor Wipex Адаптер RS PN6 DR 110x10,0 RS3</t>
  </si>
  <si>
    <t>Uponor Wipex Адаптер RS PN10 DR 63x8,6 RS2</t>
  </si>
  <si>
    <t>Uponor Wipex Адаптер RS PN10 DR 75x10,3 RS2</t>
  </si>
  <si>
    <t>Uponor Wipex Адаптер RS PN10 DR 90x12,3 RS3</t>
  </si>
  <si>
    <t>Uponor Wipex Адаптер RS PN10 DR 110x15,1 RS3</t>
  </si>
  <si>
    <t>Uponor Ecoflex Гумовий кінцевик Single 140/200</t>
  </si>
  <si>
    <t>Uponor Ecoflex Гумовий кінцевик Single 160/250</t>
  </si>
  <si>
    <t>Uponor Ecoflex Гумовий кінцевик Quattro 18-22+25-28+32/175</t>
  </si>
  <si>
    <t>Uponor Ecoflex Комплект для ізоляції вузла 200/175/140</t>
  </si>
  <si>
    <t>Uponor Ecoflex Ревізійний колодязь з кришкою 6x140/145/175/200</t>
  </si>
  <si>
    <t>Uponor Ecoflex Ревізійний колодязь з кришкою 8x140/145/175/200</t>
  </si>
  <si>
    <t>Uponor Ecoflex Ревізійний колодязь з кришкою 2x250-6x140/175/200</t>
  </si>
  <si>
    <t>Uponor Ecoflex Ревізійний колодязь з кришкою 4x250-4x140/175/200</t>
  </si>
  <si>
    <t>Uponor Ecoflex Ревізійний колодязь з кришкою 6x250-2x140/175/200</t>
  </si>
  <si>
    <t>Uponor Ecoflex Термоусадочний рукав 140</t>
  </si>
  <si>
    <t>Uponor Ecoflex Термоусадочний рукав 175/200</t>
  </si>
  <si>
    <t>Uponor Ecoflex Термоусадочний рукав 250</t>
  </si>
  <si>
    <t>Uponor Ecoflex Термоусад. рукав із застібкою 140/175/200/250</t>
  </si>
  <si>
    <t>Uponor Ecoflex Коліно для вводу в будинок Single 40x3,7/140</t>
  </si>
  <si>
    <t>Uponor Ecoflex Коліно для вводу в будинок Single 50x4,6/140</t>
  </si>
  <si>
    <t>Uponor Ecoflex Коліно для вводу в будинок Single 63x5,8/140</t>
  </si>
  <si>
    <t>Uponor Ecoflex Коліно для вводу в будинок Single 75x6,8/140</t>
  </si>
  <si>
    <t>Uponor Ecoflex Коліно для вводу в будинок Twin 2x25x2,3/140</t>
  </si>
  <si>
    <t>Uponor Ecoflex Коліно для вводу в будинок Twin 2x32x2,9/140</t>
  </si>
  <si>
    <t>Uponor Ecoflex Коліно для вводу в будинок Twin 2x40x3,7/160</t>
  </si>
  <si>
    <t>Uponor Ecoflex Коліно для вводу в будинок Twin 2x50x4,6/200</t>
  </si>
  <si>
    <t>Uponor Ecoflex Коліно для вводу в будинок Twin 2x63x5,8/200</t>
  </si>
  <si>
    <t>Uponor Ecoflex Коліно для вводу в будинок Twin 2x75x6,8/250</t>
  </si>
  <si>
    <t>Uponor Ecoflex Комплект проходу через стіну 68+90</t>
  </si>
  <si>
    <t>Uponor Ecoflex Комплект проходу стіни 140</t>
  </si>
  <si>
    <t>Uponor Ecoflex Комплект проходу стіни 175+200</t>
  </si>
  <si>
    <t>Uponor Ecoflex Комплект проходу стіни 250</t>
  </si>
  <si>
    <t>Uponor Ecoflex Прохід через стіну 140</t>
  </si>
  <si>
    <t>Uponor Ecoflex Прохід через стіну 175</t>
  </si>
  <si>
    <t>Uponor Ecoflex Прохід через стіну 200</t>
  </si>
  <si>
    <t>Uponor Ecoflex Прохід через стіну 250</t>
  </si>
  <si>
    <t>Uponor Ecoflex Кутова направляюча 175/140</t>
  </si>
  <si>
    <t>Uponor Ecoflex Кутова направляюча 200</t>
  </si>
  <si>
    <t>Uponor Ecoflex Ремонтний комплект для кожуху 140+175+200-700mm</t>
  </si>
  <si>
    <t>Uponor Ecoflex Supra PLUS Кабель саморегулюючий 10W/m</t>
  </si>
  <si>
    <t>Uponor Combi Port E-Pro Інтелектуальна станція (тепла підлога/ГВП) UFH 20 CB MD EL MH MS BP SS IB</t>
  </si>
  <si>
    <t>Uponor Combi Port E-Pro Інтелектуальна станція (тепла підлога/ГВП) UFH 20 St MD EL MH MS BP SS IB</t>
  </si>
  <si>
    <t>Uponor Combi Port E-Pro Інтелектуальна станція (тепла підлога/ГВП) UFH 25 CB MD EL MH MS BP SS IB</t>
  </si>
  <si>
    <t>Uponor Combi Port E-Pro Інтелектуальна станція (тепла підлога/ГВП) UFH 25 St MD EL MH MS BP SS IB</t>
  </si>
  <si>
    <t>Uponor Combi Port E-Pro Прихована шафа з колектором IW 1200x750x150mm 3HMV+9BV</t>
  </si>
  <si>
    <t>Uponor Combi Port E-Pro Прихована шафа з колектором IW 1200x750x150mm 4HMV+9BV</t>
  </si>
  <si>
    <t>Uponor Combi Port E-Pro Прихована шафа з колектором IW 1200x750x150mm 5HMV+9BV</t>
  </si>
  <si>
    <t>Uponor Combi Port E-Pro Прихована шафа з колектором IW 1200x750x150mm 6HMV+9BV</t>
  </si>
  <si>
    <t>Uponor Combi Port E-Pro Прихована шафа з колектором IW 1200x750x150mm 7HMV+9BV</t>
  </si>
  <si>
    <t>Uponor Combi Port E-Pro Прихована шафа з колектором IW 1200x750x150mm 8HMV+9BV</t>
  </si>
  <si>
    <t>Uponor Combi Port E-Pro Прихована шафа з колектором IW 1200x750x150mm 9HMV+9BV</t>
  </si>
  <si>
    <t>Uponor Combi Port E-Pro Прихована шафа з колектором IW 1200x750x150mm 10HMV+9BV</t>
  </si>
  <si>
    <t>Uponor Combi Port E-Pro Прихована шафа з колектором IW 1200x750x150mm 11HMV+9BV</t>
  </si>
  <si>
    <t>Uponor Combi Port E-Pro Настінна шафа з колектором OW 1200x750x260mm 3HMV+9BV</t>
  </si>
  <si>
    <t>Uponor Combi Port E-Pro Настінна шафа з колектором OW 1200x750x260mm 4HMV+9BV</t>
  </si>
  <si>
    <t>Uponor Combi Port E-Pro Настінна шафа з колектором OW 1200x750x260mm 5HMV+9BV</t>
  </si>
  <si>
    <t>Uponor Combi Port E-Pro Настінна шафа з колектором OW 1200x750x260mm 6HMV+9BV</t>
  </si>
  <si>
    <t>Uponor Combi Port E-Pro Настінна шафа з колектором OW 1200x750x260mm 7HMV+9BV</t>
  </si>
  <si>
    <t>Uponor Combi Port E-Pro Настінна шафа з колектором OW 1200x750x260mm 8HMV+9BV</t>
  </si>
  <si>
    <t>Uponor Combi Port E-Pro Настінна шафа з колектором OW 1200x750x260mm 9HMV+9BV</t>
  </si>
  <si>
    <t>Uponor Combi Port E-Pro Настінна шафа з колектором OW 1200x750x260mm 10HMV+9BV</t>
  </si>
  <si>
    <t>Uponor Combi Port E-Pro Кришка для шафи OW 1200X750X260mm</t>
  </si>
  <si>
    <t>Uponor Combi Port E-Pro Комплект підключення 2-го контуру 2HC 3/4"</t>
  </si>
  <si>
    <t>Uponor Combi Port E-Pro Обмежувач температури 2-го контуру 2HC</t>
  </si>
  <si>
    <t>Uponor Combi Port E-Pro Регулятор перепаду тиску 2HC DN15,50-300 mbar</t>
  </si>
  <si>
    <t>Uponor Combi Port E-Pro Блок рециркуляції</t>
  </si>
  <si>
    <t>Uponor Combi Port M-XS Квартирний теплопункт RC 15 CB BP DI TL ZV ZM</t>
  </si>
  <si>
    <t>Uponor Magna Розмотувач для труб</t>
  </si>
  <si>
    <t>Uponor Wipex Розсувні плоскогубці 1 - 1 1/2</t>
  </si>
  <si>
    <t>Uponor Wipex Розсувні плоскогубці 1 1/2 - 3 1/2</t>
  </si>
  <si>
    <t>Uponor Multi Ножиці для труб 12-25</t>
  </si>
  <si>
    <t>Uponor Multi Запасне лезо 12-25</t>
  </si>
  <si>
    <t>Uponor Multi Ножиці для труб 32-40</t>
  </si>
  <si>
    <t>Uponor Multi Запасне лезо 32-40</t>
  </si>
  <si>
    <t>Uponor Multi Ріжучий інструмент для труб 25-63</t>
  </si>
  <si>
    <t>Uponor Multi Запасне лезо 25-63</t>
  </si>
  <si>
    <t>Uponor Multi Ріжучий інструмент для труб 50-125</t>
  </si>
  <si>
    <t>Uponor Multi Запасне лезо 50-125</t>
  </si>
  <si>
    <t>Uponor Flex Ріжучий інструмент для труб PEX 12-25</t>
  </si>
  <si>
    <t>Uponor Flex Запасне лезо PEX 12-25</t>
  </si>
  <si>
    <t>Uponor INOX Ріжучий інструмент для сталі 15-54</t>
  </si>
  <si>
    <t>Uponor INOX Запасне лезо 15-54</t>
  </si>
  <si>
    <t>Uponor MLC Ріжучий комплект 63-110</t>
  </si>
  <si>
    <t>Uponor MLC Ріжучий диск 63-110</t>
  </si>
  <si>
    <t>Uponor MLC Калібратор 40</t>
  </si>
  <si>
    <t>Uponor MLC Калібратор 50</t>
  </si>
  <si>
    <t>Uponor MLC Калібратор 63</t>
  </si>
  <si>
    <t>Uponor MLC Калібратор 75</t>
  </si>
  <si>
    <t>Uponor MLC Інструмент для зняття фаски</t>
  </si>
  <si>
    <t>Uponor INOX Калібратор 15-54</t>
  </si>
  <si>
    <t>Uponor INOX Маркер для прес-з'єднань 15-54</t>
  </si>
  <si>
    <t>Uponor MLC Пружина внутрішня 16</t>
  </si>
  <si>
    <t>Uponor MLC Пружина внутрішня 20</t>
  </si>
  <si>
    <t>Uponor MLC Пружина внутрішня 25</t>
  </si>
  <si>
    <t>Uponor MLC Пружина внутрішня 32</t>
  </si>
  <si>
    <t>Uponor MLC Пружина зовнішня 14</t>
  </si>
  <si>
    <t>Uponor MLC Пружина зовнішня 16</t>
  </si>
  <si>
    <t>Uponor MLC Пружина зовнішня 20</t>
  </si>
  <si>
    <t>Uponor MLC Пружина зовнішня 25</t>
  </si>
  <si>
    <t>Uponor Uni Pipe PLUS Трубогин 16-32</t>
  </si>
  <si>
    <t>Uponor S-Press Ручний прес - інструмент 14-20</t>
  </si>
  <si>
    <t>Uponor S-Press Насадки для ручного преса 14</t>
  </si>
  <si>
    <t>Uponor S-Press Насадки для ручного преса 16</t>
  </si>
  <si>
    <t>Uponor S-Press Насадки для ручного преса 20</t>
  </si>
  <si>
    <t>Uponor S-Press Зарядний пристрій до Mini2, UP110</t>
  </si>
  <si>
    <t>Uponor S-Press Інструмент ел. без кліщів UP75</t>
  </si>
  <si>
    <t>Uponor S-Press Прес кліщі UPP1 16</t>
  </si>
  <si>
    <t>Uponor S-Press Прес кліщі UPP1 20</t>
  </si>
  <si>
    <t>Uponor S-Press Прес кліщі UPP1 25</t>
  </si>
  <si>
    <t>Uponor S-Press Прес кліщі UPP1 32</t>
  </si>
  <si>
    <t>Uponor S-Press Прес кліщі UPP1 40</t>
  </si>
  <si>
    <t>Uponor S-Press Прес кліщі UPP1 50</t>
  </si>
  <si>
    <t>Uponor INOX Прес-кліщі M 15</t>
  </si>
  <si>
    <t>Uponor INOX Прес-кліщі M 18</t>
  </si>
  <si>
    <t>Uponor INOX Прес-кліщі M 22</t>
  </si>
  <si>
    <t>Uponor INOX Прес-кліщі M 28</t>
  </si>
  <si>
    <t>Uponor INOX Прес-кліщі M 35</t>
  </si>
  <si>
    <t>Uponor S-Press Базовий блок під прес- насадки 63-110</t>
  </si>
  <si>
    <t>Uponor S-Press Прес-насадка 63</t>
  </si>
  <si>
    <t>Uponor S-Press Прес-насадка 75</t>
  </si>
  <si>
    <t>Uponor S-Press Прес-насадка 90</t>
  </si>
  <si>
    <t>Uponor S-Press Прес-насадка 110</t>
  </si>
  <si>
    <t>Uponor INOX Базовий блок під прес-насадки M 42-54</t>
  </si>
  <si>
    <t>Uponor INOX Прес-насадка M 42</t>
  </si>
  <si>
    <t>Uponor INOX Прес-насадка M 54</t>
  </si>
  <si>
    <t>Uponor S-Press Mini2 с кліщами KSP0 16/20/25/32</t>
  </si>
  <si>
    <t>Uponor S-Press Акумулятор до Mini2</t>
  </si>
  <si>
    <t>Uponor S-Press Прес кліщі Mini KSP0 16</t>
  </si>
  <si>
    <t>Uponor S-Press Прес кліщі Mini KSP0 20</t>
  </si>
  <si>
    <t>Uponor S-Press Прес кліщі Mini KSP0 25</t>
  </si>
  <si>
    <t>Uponor S-Press Прес кліщі Mini KSP0 32</t>
  </si>
  <si>
    <t>Uponor Q&amp;E Ручний інструмент з головками S3,2 S5,0 16/20/25</t>
  </si>
  <si>
    <t>Uponor Minitec Головка розширювальна 9,9x1,1</t>
  </si>
  <si>
    <t>Uponor Q&amp;E Головка розширювальна 10 бар 16x2,2</t>
  </si>
  <si>
    <t>Uponor Q&amp;E Акум. інструмент з головками M12/ 16RS/20/25 6bar</t>
  </si>
  <si>
    <t>Uponor Q&amp;E Акум. інструмент з головками M12/ 16RS/20/25 10bar</t>
  </si>
  <si>
    <t>Uponor Q&amp;E Акум. інструмент M12 FUEL без головок M12 Fuel</t>
  </si>
  <si>
    <t>Uponor Q&amp;E Розширювальна головка 9.9мм M12/Rapid Seal 9,9x1.1</t>
  </si>
  <si>
    <t>Uponor Q&amp;E Головка розширювальна M12/M18 14/15x2,5</t>
  </si>
  <si>
    <t>Uponor Q&amp;E Головка розширювальна M12/M18 16x1,8/2,0/2,2</t>
  </si>
  <si>
    <t>Uponor Q&amp;E Головка розширювальна M12/M18 17/18x2,5</t>
  </si>
  <si>
    <t>Uponor Q&amp;E Головка розширювальна M12/M18 20x1,9/2,0</t>
  </si>
  <si>
    <t>Uponor Q&amp;E Головка розширювальна M12/M18 25x2,3</t>
  </si>
  <si>
    <t>Uponor Q&amp;E Головка розширювальна M12/M18 25x3,5</t>
  </si>
  <si>
    <t>Uponor Q&amp;E Головка розширювальна M12/M18 32x2,9</t>
  </si>
  <si>
    <t>Uponor Q&amp;E Головка розширювальна M12/M18/Rapid Seal 16x1,8/2,0/2,2</t>
  </si>
  <si>
    <t>Uponor Q&amp;E Головка розширювальна M12/M18/Rapid Seal 20x1,9/2,0</t>
  </si>
  <si>
    <t>Uponor Q&amp;E Головка розширювальна M12/M18/Rapid Seal 20x2,8</t>
  </si>
  <si>
    <t>Uponor Q&amp;E Головка розширювальна M12/M18/Rapid Seal 25x2,3</t>
  </si>
  <si>
    <t>Uponor Q&amp;E Головка розширювальна M12/M18/Rapid Seal 25x3,5</t>
  </si>
  <si>
    <t>Uponor Q&amp;E Головка розширювальна M12/M18/Rapid Seal 32x2,9</t>
  </si>
  <si>
    <t>Uponor Q&amp;E Акум. інструмент M12 FUEL з головками 6 бар M12 6bar/Fuel/Rapid Seal 16/20/25</t>
  </si>
  <si>
    <t>Uponor Q&amp;E Акум. інструмент M12 FUEL з головками 10 бар M12 10bar/Fuel/Rapid Seal 16/20/25</t>
  </si>
  <si>
    <t>Uponor Q&amp;E Акум. інструмент з головками M18 6bar 16/20/25/32</t>
  </si>
  <si>
    <t>Uponor Q&amp;E Акум. інструмент з головками M18 10bar 16/20/25/H32</t>
  </si>
  <si>
    <t>Uponor Q&amp;E Головка розширювальна M18 H 32x2,9/4,4</t>
  </si>
  <si>
    <t>Uponor Q&amp;E Головка розширювальна M18 H 40x3,7</t>
  </si>
  <si>
    <t>Uponor Q&amp;E Ак. інструмент M18 VLD PEX 40-75</t>
  </si>
  <si>
    <t>Uponor Q&amp;E Головка розширювальна VLD 40x3,7/5,5</t>
  </si>
  <si>
    <t>Uponor Q&amp;E Головка розширювальна VLD 50x4,6/6,9</t>
  </si>
  <si>
    <t>Uponor Q&amp;E Головка розширювальна VLD 63x5,8/8,6</t>
  </si>
  <si>
    <t>Uponor Q&amp;E Головка розширювальна VLD 75x6,8/10,3</t>
  </si>
  <si>
    <t>Uponor Q&amp;E Графітове мастило 30g</t>
  </si>
  <si>
    <t>Uponor Q&amp;E Графітове мастило 100g</t>
  </si>
  <si>
    <t>Uponor Siccus 14 Інструмент виріз. пазів 14mm 230V</t>
  </si>
  <si>
    <t>Uponor Tacker Степлер 14-20mm</t>
  </si>
  <si>
    <t>Uponor Tacker Степлер + набір скоб 14-20mm h=50mm 5000pc</t>
  </si>
  <si>
    <t>Uponor Tacker Степлер + набір скоб 14-20mm h=50mm 1250pc</t>
  </si>
  <si>
    <t>Uponor Classic Інструмент скруч. дротів l=320mm</t>
  </si>
  <si>
    <t>Uponor Vario PLUS Ключ для колектора</t>
  </si>
  <si>
    <t>Uponor Smatrix Base Настінна панель біла Style T-149 A-14X</t>
  </si>
  <si>
    <t>Uponor Smatrix Base Настінна панель чорна Style T-149 A-14X</t>
  </si>
  <si>
    <t>Дротова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</si>
</sst>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5" x14ac:knownFonts="1">
    <font>
      <sz val="11"/>
      <color indexed="8"/>
      <name val="Calibri"/>
      <family val="2"/>
      <scheme val="minor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</font>
    <font>
      <u/>
      <sz val="10"/>
      <color indexed="12"/>
      <name val="Verdana"/>
      <family val="2"/>
    </font>
    <font>
      <i/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Calibri"/>
      <family val="2"/>
      <scheme val="minor"/>
    </font>
    <font>
      <sz val="11"/>
      <color indexed="8"/>
      <name val="Century Gothic"/>
      <family val="2"/>
      <charset val="204"/>
    </font>
    <font>
      <sz val="11"/>
      <color theme="0"/>
      <name val="Century Gothic"/>
      <family val="2"/>
      <charset val="204"/>
    </font>
    <font>
      <sz val="14"/>
      <color indexed="8"/>
      <name val="Century Gothic"/>
      <family val="2"/>
      <charset val="204"/>
    </font>
    <font>
      <sz val="10"/>
      <color indexed="8"/>
      <name val="Century Gothic"/>
      <family val="2"/>
      <charset val="204"/>
    </font>
    <font>
      <sz val="9"/>
      <color indexed="8"/>
      <name val="Century Gothic"/>
      <family val="2"/>
      <charset val="204"/>
    </font>
    <font>
      <sz val="9"/>
      <name val="Century Gothic"/>
      <family val="2"/>
      <charset val="204"/>
    </font>
    <font>
      <sz val="9"/>
      <color theme="0"/>
      <name val="Century Gothic"/>
      <family val="2"/>
      <charset val="204"/>
    </font>
    <font>
      <b/>
      <sz val="9"/>
      <color theme="0"/>
      <name val="Century Gothic"/>
      <family val="2"/>
      <charset val="204"/>
    </font>
    <font>
      <b/>
      <sz val="9"/>
      <color rgb="FF203764"/>
      <name val="Century Gothic"/>
      <family val="2"/>
      <charset val="204"/>
    </font>
    <font>
      <sz val="9"/>
      <color rgb="FF203764"/>
      <name val="Century Gothic"/>
      <family val="2"/>
      <charset val="204"/>
    </font>
    <font>
      <sz val="11"/>
      <color rgb="FF203764"/>
      <name val="Century Gothic"/>
      <family val="2"/>
      <charset val="204"/>
    </font>
    <font>
      <b/>
      <u/>
      <sz val="20"/>
      <color rgb="FF203764"/>
      <name val="Century Gothic"/>
      <family val="2"/>
      <charset val="204"/>
    </font>
    <font>
      <b/>
      <sz val="20"/>
      <color rgb="FF203764"/>
      <name val="Century Gothic"/>
      <family val="2"/>
      <charset val="204"/>
    </font>
    <font>
      <b/>
      <sz val="9"/>
      <name val="Century Gothic"/>
      <family val="2"/>
      <charset val="204"/>
    </font>
    <font>
      <b/>
      <sz val="16"/>
      <color theme="0"/>
      <name val="Century Gothic"/>
      <family val="2"/>
      <charset val="204"/>
    </font>
    <font>
      <sz val="9"/>
      <color theme="0" tint="-0.499984740745262"/>
      <name val="Century Gothic"/>
      <family val="2"/>
      <charset val="204"/>
    </font>
    <font>
      <i/>
      <sz val="9"/>
      <color theme="1"/>
      <name val="Century Gothic"/>
      <family val="2"/>
      <charset val="204"/>
    </font>
    <font>
      <sz val="9"/>
      <color theme="1"/>
      <name val="Century Gothic"/>
      <family val="2"/>
      <charset val="204"/>
    </font>
    <font>
      <b/>
      <sz val="9"/>
      <color rgb="FF008000"/>
      <name val="Century Gothic"/>
      <family val="2"/>
      <charset val="204"/>
    </font>
    <font>
      <sz val="9"/>
      <color rgb="FF008000"/>
      <name val="Century Gothic"/>
      <family val="2"/>
      <charset val="204"/>
    </font>
    <font>
      <sz val="11"/>
      <color indexed="8"/>
      <name val="Calibri"/>
      <family val="2"/>
      <scheme val="minor"/>
    </font>
    <font>
      <sz val="8"/>
      <color rgb="FF333F48"/>
      <name val="Century Gothic"/>
      <family val="2"/>
    </font>
    <font>
      <u/>
      <sz val="11"/>
      <color theme="10"/>
      <name val="Calibri"/>
      <family val="2"/>
      <scheme val="minor"/>
    </font>
    <font>
      <sz val="8"/>
      <color indexed="8"/>
      <name val="Century Gothic"/>
      <family val="2"/>
      <charset val="204"/>
    </font>
    <font>
      <sz val="8"/>
      <color theme="0"/>
      <name val="Century Gothic"/>
      <family val="2"/>
      <charset val="204"/>
    </font>
    <font>
      <b/>
      <sz val="8"/>
      <color indexed="8"/>
      <name val="Century Gothic"/>
      <family val="2"/>
      <charset val="204"/>
    </font>
    <font>
      <sz val="9"/>
      <color rgb="FFFF0000"/>
      <name val="Century Gothic"/>
      <family val="2"/>
      <charset val="204"/>
    </font>
    <font>
      <b/>
      <sz val="8"/>
      <color rgb="FF0062C8"/>
      <name val="Century Gothic"/>
      <family val="2"/>
      <charset val="204"/>
    </font>
    <font>
      <b/>
      <sz val="8"/>
      <color rgb="FF1F497D"/>
      <name val="Century Gothic"/>
      <family val="2"/>
      <charset val="204"/>
    </font>
    <font>
      <sz val="8"/>
      <color rgb="FF0062C8"/>
      <name val="Century Gothic"/>
      <family val="2"/>
      <charset val="204"/>
    </font>
    <font>
      <u/>
      <sz val="8"/>
      <color theme="10"/>
      <name val="Calibri"/>
      <family val="2"/>
      <scheme val="minor"/>
    </font>
    <font>
      <sz val="8"/>
      <color rgb="FF1F497D"/>
      <name val="Century Gothic"/>
      <family val="2"/>
      <charset val="204"/>
    </font>
    <font>
      <sz val="11"/>
      <color rgb="FF1F497D"/>
      <name val="Century Gothic"/>
      <family val="2"/>
      <charset val="204"/>
    </font>
    <font>
      <b/>
      <u/>
      <sz val="11"/>
      <color rgb="FF1F497D"/>
      <name val="Century Gothic"/>
      <family val="2"/>
      <charset val="204"/>
    </font>
    <font>
      <b/>
      <sz val="8"/>
      <color rgb="FF203764"/>
      <name val="Century Gothic"/>
      <family val="2"/>
      <charset val="204"/>
    </font>
    <font>
      <sz val="10"/>
      <color theme="3"/>
      <name val="Century Gothic"/>
      <family val="2"/>
    </font>
    <font>
      <sz val="10"/>
      <color rgb="FF00B050"/>
      <name val="Century Gothic"/>
      <family val="2"/>
    </font>
    <font>
      <sz val="10"/>
      <color indexed="8"/>
      <name val="Century Gothic"/>
      <family val="2"/>
    </font>
    <font>
      <b/>
      <sz val="12"/>
      <color rgb="FF333F48"/>
      <name val="Century Gothic"/>
      <family val="2"/>
    </font>
    <font>
      <sz val="8"/>
      <color rgb="FFA1A1A1"/>
      <name val="Century Gothic"/>
      <family val="2"/>
    </font>
    <font>
      <sz val="10"/>
      <color theme="9" tint="-0.499984740745262"/>
      <name val="Century Gothic"/>
      <family val="2"/>
    </font>
    <font>
      <b/>
      <sz val="8"/>
      <name val="Century Gothic"/>
      <family val="2"/>
    </font>
    <font>
      <sz val="8"/>
      <color rgb="FFFFFF00"/>
      <name val="Century Gothic"/>
      <family val="2"/>
    </font>
    <font>
      <sz val="11"/>
      <color theme="1"/>
      <name val="Calibri"/>
      <family val="2"/>
      <scheme val="minor"/>
    </font>
    <font>
      <b/>
      <sz val="8"/>
      <color rgb="FFFFFF00"/>
      <name val="Century Gothic"/>
      <family val="2"/>
      <charset val="204"/>
    </font>
    <font>
      <sz val="8"/>
      <name val="Century Gothic"/>
      <family val="2"/>
    </font>
    <font>
      <b/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DDE5ED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203764"/>
        <bgColor theme="4"/>
      </patternFill>
    </fill>
    <fill>
      <patternFill patternType="solid">
        <fgColor rgb="FF0063C8"/>
        <bgColor indexed="64"/>
      </patternFill>
    </fill>
    <fill>
      <patternFill patternType="solid">
        <fgColor rgb="FFFFB25B"/>
        <bgColor auto="1"/>
      </patternFill>
    </fill>
    <fill>
      <patternFill patternType="solid">
        <fgColor rgb="FF7DA1C4"/>
        <bgColor auto="1"/>
      </patternFill>
    </fill>
  </fills>
  <borders count="23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203764"/>
      </left>
      <right/>
      <top/>
      <bottom/>
      <diagonal/>
    </border>
    <border>
      <left/>
      <right style="thin">
        <color rgb="FF203764"/>
      </right>
      <top/>
      <bottom/>
      <diagonal/>
    </border>
    <border>
      <left style="thin">
        <color rgb="FF203764"/>
      </left>
      <right/>
      <top/>
      <bottom style="thin">
        <color rgb="FF203764"/>
      </bottom>
      <diagonal/>
    </border>
    <border>
      <left/>
      <right/>
      <top/>
      <bottom style="thin">
        <color rgb="FF203764"/>
      </bottom>
      <diagonal/>
    </border>
    <border>
      <left/>
      <right style="thin">
        <color rgb="FF203764"/>
      </right>
      <top/>
      <bottom style="thin">
        <color rgb="FF203764"/>
      </bottom>
      <diagonal/>
    </border>
    <border>
      <left/>
      <right/>
      <top style="thin">
        <color rgb="FF203764"/>
      </top>
      <bottom style="thin">
        <color indexed="64"/>
      </bottom>
      <diagonal/>
    </border>
    <border>
      <left/>
      <right style="thin">
        <color indexed="64"/>
      </right>
      <top style="thin">
        <color rgb="FF203764"/>
      </top>
      <bottom style="thin">
        <color indexed="64"/>
      </bottom>
      <diagonal/>
    </border>
    <border>
      <left style="thin">
        <color indexed="64"/>
      </left>
      <right/>
      <top style="thin">
        <color rgb="FF203764"/>
      </top>
      <bottom/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8" fillId="0" borderId="0"/>
    <xf numFmtId="0" fontId="51" fillId="0" borderId="0"/>
  </cellStyleXfs>
  <cellXfs count="175">
    <xf numFmtId="0" fontId="0" fillId="0" borderId="0" xfId="0"/>
    <xf numFmtId="0" fontId="16" fillId="3" borderId="0" xfId="0" applyFont="1" applyFill="1" applyAlignment="1" applyProtection="1">
      <alignment horizontal="left" vertical="center"/>
      <protection locked="0"/>
    </xf>
    <xf numFmtId="0" fontId="13" fillId="6" borderId="4" xfId="0" applyFont="1" applyFill="1" applyBorder="1" applyAlignment="1" applyProtection="1">
      <alignment horizontal="center"/>
      <protection locked="0"/>
    </xf>
    <xf numFmtId="0" fontId="13" fillId="6" borderId="5" xfId="0" applyFont="1" applyFill="1" applyBorder="1" applyAlignment="1" applyProtection="1">
      <alignment horizontal="center"/>
      <protection locked="0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left"/>
    </xf>
    <xf numFmtId="1" fontId="2" fillId="2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2" fontId="0" fillId="3" borderId="0" xfId="0" applyNumberFormat="1" applyFill="1"/>
    <xf numFmtId="0" fontId="0" fillId="3" borderId="0" xfId="0" applyFill="1"/>
    <xf numFmtId="2" fontId="2" fillId="3" borderId="0" xfId="0" applyNumberFormat="1" applyFont="1" applyFill="1" applyAlignment="1">
      <alignment horizontal="center" vertical="center"/>
    </xf>
    <xf numFmtId="1" fontId="2" fillId="3" borderId="0" xfId="0" applyNumberFormat="1" applyFont="1" applyFill="1" applyAlignment="1">
      <alignment vertical="center"/>
    </xf>
    <xf numFmtId="2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" fontId="2" fillId="3" borderId="0" xfId="0" applyNumberFormat="1" applyFont="1" applyFill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Protection="1">
      <protection locked="0"/>
    </xf>
    <xf numFmtId="9" fontId="21" fillId="3" borderId="0" xfId="0" applyNumberFormat="1" applyFont="1" applyFill="1" applyAlignment="1" applyProtection="1">
      <alignment horizontal="center"/>
      <protection locked="0" hidden="1"/>
    </xf>
    <xf numFmtId="0" fontId="25" fillId="2" borderId="19" xfId="0" applyFont="1" applyFill="1" applyBorder="1" applyAlignment="1" applyProtection="1">
      <alignment horizontal="center"/>
      <protection locked="0" hidden="1"/>
    </xf>
    <xf numFmtId="1" fontId="13" fillId="6" borderId="4" xfId="0" applyNumberFormat="1" applyFont="1" applyFill="1" applyBorder="1" applyAlignment="1" applyProtection="1">
      <alignment horizontal="center"/>
      <protection locked="0" hidden="1"/>
    </xf>
    <xf numFmtId="164" fontId="14" fillId="5" borderId="0" xfId="0" applyNumberFormat="1" applyFont="1" applyFill="1" applyAlignment="1" applyProtection="1">
      <alignment horizontal="center"/>
      <protection hidden="1"/>
    </xf>
    <xf numFmtId="164" fontId="14" fillId="5" borderId="0" xfId="0" applyNumberFormat="1" applyFont="1" applyFill="1" applyProtection="1">
      <protection hidden="1"/>
    </xf>
    <xf numFmtId="0" fontId="25" fillId="2" borderId="20" xfId="0" applyFont="1" applyFill="1" applyBorder="1" applyAlignment="1" applyProtection="1">
      <alignment horizontal="center"/>
      <protection locked="0" hidden="1"/>
    </xf>
    <xf numFmtId="164" fontId="14" fillId="5" borderId="0" xfId="0" applyNumberFormat="1" applyFont="1" applyFill="1" applyAlignment="1" applyProtection="1">
      <alignment vertical="center"/>
      <protection hidden="1"/>
    </xf>
    <xf numFmtId="0" fontId="12" fillId="3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0" fontId="13" fillId="3" borderId="0" xfId="0" applyFont="1" applyFill="1" applyAlignment="1" applyProtection="1">
      <alignment horizontal="right"/>
      <protection hidden="1"/>
    </xf>
    <xf numFmtId="4" fontId="13" fillId="3" borderId="0" xfId="0" applyNumberFormat="1" applyFont="1" applyFill="1" applyAlignment="1" applyProtection="1">
      <alignment horizontal="center"/>
      <protection hidden="1"/>
    </xf>
    <xf numFmtId="12" fontId="12" fillId="3" borderId="0" xfId="0" applyNumberFormat="1" applyFont="1" applyFill="1" applyProtection="1">
      <protection hidden="1"/>
    </xf>
    <xf numFmtId="0" fontId="21" fillId="3" borderId="0" xfId="0" applyFont="1" applyFill="1" applyAlignment="1" applyProtection="1">
      <alignment horizontal="right"/>
      <protection hidden="1"/>
    </xf>
    <xf numFmtId="0" fontId="14" fillId="7" borderId="2" xfId="0" applyFont="1" applyFill="1" applyBorder="1" applyAlignment="1" applyProtection="1">
      <alignment horizontal="center" vertical="center" wrapText="1"/>
      <protection hidden="1"/>
    </xf>
    <xf numFmtId="0" fontId="14" fillId="8" borderId="17" xfId="0" applyFont="1" applyFill="1" applyBorder="1" applyAlignment="1" applyProtection="1">
      <alignment horizontal="center" vertical="center" wrapText="1"/>
      <protection hidden="1"/>
    </xf>
    <xf numFmtId="0" fontId="14" fillId="8" borderId="18" xfId="0" applyFont="1" applyFill="1" applyBorder="1" applyAlignment="1" applyProtection="1">
      <alignment horizontal="center" vertical="center" wrapText="1"/>
      <protection hidden="1"/>
    </xf>
    <xf numFmtId="1" fontId="13" fillId="2" borderId="3" xfId="0" applyNumberFormat="1" applyFont="1" applyFill="1" applyBorder="1" applyProtection="1">
      <protection hidden="1"/>
    </xf>
    <xf numFmtId="0" fontId="24" fillId="2" borderId="4" xfId="0" applyFont="1" applyFill="1" applyBorder="1" applyProtection="1">
      <protection hidden="1"/>
    </xf>
    <xf numFmtId="0" fontId="24" fillId="2" borderId="4" xfId="0" applyFont="1" applyFill="1" applyBorder="1" applyAlignment="1" applyProtection="1">
      <alignment horizontal="center"/>
      <protection hidden="1"/>
    </xf>
    <xf numFmtId="0" fontId="14" fillId="5" borderId="0" xfId="0" applyFont="1" applyFill="1" applyProtection="1">
      <protection hidden="1"/>
    </xf>
    <xf numFmtId="1" fontId="13" fillId="2" borderId="3" xfId="0" applyNumberFormat="1" applyFont="1" applyFill="1" applyBorder="1" applyAlignment="1" applyProtection="1">
      <alignment horizontal="center"/>
      <protection hidden="1"/>
    </xf>
    <xf numFmtId="0" fontId="25" fillId="2" borderId="19" xfId="0" applyFont="1" applyFill="1" applyBorder="1" applyAlignment="1" applyProtection="1">
      <alignment horizontal="center"/>
      <protection hidden="1"/>
    </xf>
    <xf numFmtId="2" fontId="13" fillId="2" borderId="4" xfId="0" applyNumberFormat="1" applyFont="1" applyFill="1" applyBorder="1" applyAlignment="1" applyProtection="1">
      <alignment horizontal="left"/>
      <protection hidden="1"/>
    </xf>
    <xf numFmtId="2" fontId="13" fillId="3" borderId="4" xfId="0" applyNumberFormat="1" applyFont="1" applyFill="1" applyBorder="1" applyAlignment="1" applyProtection="1">
      <alignment horizontal="center"/>
      <protection hidden="1"/>
    </xf>
    <xf numFmtId="4" fontId="13" fillId="3" borderId="4" xfId="0" applyNumberFormat="1" applyFont="1" applyFill="1" applyBorder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center"/>
      <protection hidden="1"/>
    </xf>
    <xf numFmtId="2" fontId="13" fillId="3" borderId="6" xfId="0" applyNumberFormat="1" applyFont="1" applyFill="1" applyBorder="1" applyAlignment="1" applyProtection="1">
      <alignment horizontal="center"/>
      <protection hidden="1"/>
    </xf>
    <xf numFmtId="4" fontId="13" fillId="3" borderId="6" xfId="0" applyNumberFormat="1" applyFont="1" applyFill="1" applyBorder="1" applyAlignment="1" applyProtection="1">
      <alignment horizontal="center"/>
      <protection hidden="1"/>
    </xf>
    <xf numFmtId="0" fontId="15" fillId="5" borderId="0" xfId="0" applyFont="1" applyFill="1" applyAlignment="1" applyProtection="1">
      <alignment vertical="center"/>
      <protection hidden="1"/>
    </xf>
    <xf numFmtId="0" fontId="15" fillId="5" borderId="0" xfId="0" applyFont="1" applyFill="1" applyAlignment="1" applyProtection="1">
      <alignment vertical="center" wrapText="1"/>
      <protection hidden="1"/>
    </xf>
    <xf numFmtId="0" fontId="14" fillId="5" borderId="0" xfId="0" applyFont="1" applyFill="1" applyAlignment="1" applyProtection="1">
      <alignment vertical="center"/>
      <protection hidden="1"/>
    </xf>
    <xf numFmtId="4" fontId="15" fillId="5" borderId="0" xfId="0" applyNumberFormat="1" applyFont="1" applyFill="1" applyAlignment="1" applyProtection="1">
      <alignment horizontal="center" vertical="center"/>
      <protection hidden="1"/>
    </xf>
    <xf numFmtId="0" fontId="26" fillId="3" borderId="0" xfId="0" applyFont="1" applyFill="1" applyProtection="1">
      <protection hidden="1"/>
    </xf>
    <xf numFmtId="0" fontId="12" fillId="3" borderId="0" xfId="0" applyFont="1" applyFill="1" applyAlignment="1" applyProtection="1">
      <alignment horizontal="right"/>
      <protection hidden="1"/>
    </xf>
    <xf numFmtId="4" fontId="12" fillId="3" borderId="0" xfId="0" applyNumberFormat="1" applyFont="1" applyFill="1" applyAlignment="1" applyProtection="1">
      <alignment horizontal="center"/>
      <protection hidden="1"/>
    </xf>
    <xf numFmtId="0" fontId="32" fillId="8" borderId="17" xfId="0" applyFont="1" applyFill="1" applyBorder="1" applyAlignment="1">
      <alignment horizontal="center" vertical="center" wrapText="1"/>
    </xf>
    <xf numFmtId="0" fontId="32" fillId="8" borderId="18" xfId="0" applyFont="1" applyFill="1" applyBorder="1" applyAlignment="1">
      <alignment horizontal="center" vertical="center" wrapText="1"/>
    </xf>
    <xf numFmtId="0" fontId="31" fillId="3" borderId="0" xfId="0" applyFont="1" applyFill="1"/>
    <xf numFmtId="0" fontId="31" fillId="6" borderId="21" xfId="0" applyFont="1" applyFill="1" applyBorder="1"/>
    <xf numFmtId="0" fontId="31" fillId="6" borderId="21" xfId="0" applyFont="1" applyFill="1" applyBorder="1" applyAlignment="1">
      <alignment horizontal="center"/>
    </xf>
    <xf numFmtId="4" fontId="31" fillId="6" borderId="21" xfId="0" applyNumberFormat="1" applyFont="1" applyFill="1" applyBorder="1" applyAlignment="1">
      <alignment horizontal="center"/>
    </xf>
    <xf numFmtId="0" fontId="31" fillId="6" borderId="22" xfId="0" applyFont="1" applyFill="1" applyBorder="1"/>
    <xf numFmtId="0" fontId="31" fillId="6" borderId="22" xfId="0" applyFont="1" applyFill="1" applyBorder="1" applyAlignment="1">
      <alignment horizontal="center"/>
    </xf>
    <xf numFmtId="0" fontId="31" fillId="6" borderId="18" xfId="0" applyFont="1" applyFill="1" applyBorder="1"/>
    <xf numFmtId="0" fontId="31" fillId="6" borderId="18" xfId="0" applyFont="1" applyFill="1" applyBorder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4" fontId="32" fillId="8" borderId="0" xfId="0" applyNumberFormat="1" applyFont="1" applyFill="1" applyAlignment="1">
      <alignment horizontal="center" vertical="center" wrapText="1"/>
    </xf>
    <xf numFmtId="0" fontId="32" fillId="8" borderId="0" xfId="0" applyFont="1" applyFill="1" applyAlignment="1">
      <alignment horizontal="right" vertical="center"/>
    </xf>
    <xf numFmtId="0" fontId="19" fillId="3" borderId="0" xfId="0" applyFont="1" applyFill="1" applyProtection="1">
      <protection hidden="1"/>
    </xf>
    <xf numFmtId="0" fontId="18" fillId="3" borderId="0" xfId="0" applyFont="1" applyFill="1" applyProtection="1">
      <protection hidden="1"/>
    </xf>
    <xf numFmtId="0" fontId="20" fillId="3" borderId="0" xfId="0" applyFont="1" applyFill="1" applyProtection="1">
      <protection hidden="1"/>
    </xf>
    <xf numFmtId="0" fontId="9" fillId="3" borderId="0" xfId="0" applyFont="1" applyFill="1" applyProtection="1"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vertical="center"/>
      <protection hidden="1"/>
    </xf>
    <xf numFmtId="0" fontId="8" fillId="3" borderId="0" xfId="0" applyFont="1" applyFill="1" applyProtection="1">
      <protection hidden="1"/>
    </xf>
    <xf numFmtId="0" fontId="12" fillId="3" borderId="0" xfId="0" applyFont="1" applyFill="1" applyAlignment="1" applyProtection="1">
      <alignment horizontal="center" vertical="center" wrapText="1"/>
      <protection hidden="1"/>
    </xf>
    <xf numFmtId="0" fontId="11" fillId="3" borderId="0" xfId="0" applyFont="1" applyFill="1" applyProtection="1">
      <protection hidden="1"/>
    </xf>
    <xf numFmtId="0" fontId="12" fillId="5" borderId="0" xfId="0" applyFont="1" applyFill="1" applyProtection="1">
      <protection hidden="1"/>
    </xf>
    <xf numFmtId="0" fontId="12" fillId="5" borderId="0" xfId="0" applyFont="1" applyFill="1" applyAlignment="1" applyProtection="1">
      <alignment horizontal="center"/>
      <protection hidden="1"/>
    </xf>
    <xf numFmtId="0" fontId="14" fillId="3" borderId="0" xfId="0" applyFont="1" applyFill="1" applyProtection="1">
      <protection hidden="1"/>
    </xf>
    <xf numFmtId="0" fontId="12" fillId="0" borderId="0" xfId="0" applyFont="1" applyProtection="1">
      <protection hidden="1"/>
    </xf>
    <xf numFmtId="0" fontId="17" fillId="3" borderId="0" xfId="0" applyFont="1" applyFill="1" applyProtection="1">
      <protection hidden="1"/>
    </xf>
    <xf numFmtId="0" fontId="16" fillId="3" borderId="0" xfId="0" applyFont="1" applyFill="1" applyAlignment="1" applyProtection="1">
      <alignment horizontal="left" vertical="center"/>
      <protection hidden="1"/>
    </xf>
    <xf numFmtId="0" fontId="16" fillId="3" borderId="0" xfId="0" applyFont="1" applyFill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center" vertical="center"/>
      <protection hidden="1"/>
    </xf>
    <xf numFmtId="0" fontId="17" fillId="3" borderId="9" xfId="0" applyFont="1" applyFill="1" applyBorder="1" applyProtection="1">
      <protection hidden="1"/>
    </xf>
    <xf numFmtId="0" fontId="16" fillId="3" borderId="10" xfId="0" applyFont="1" applyFill="1" applyBorder="1" applyAlignment="1" applyProtection="1">
      <alignment horizontal="center" vertical="center"/>
      <protection hidden="1"/>
    </xf>
    <xf numFmtId="0" fontId="16" fillId="3" borderId="10" xfId="0" applyFont="1" applyFill="1" applyBorder="1" applyAlignment="1" applyProtection="1">
      <alignment horizontal="center"/>
      <protection hidden="1"/>
    </xf>
    <xf numFmtId="0" fontId="17" fillId="3" borderId="11" xfId="0" applyFont="1" applyFill="1" applyBorder="1" applyAlignment="1" applyProtection="1">
      <alignment horizontal="center" vertical="center" wrapText="1"/>
      <protection hidden="1"/>
    </xf>
    <xf numFmtId="0" fontId="17" fillId="3" borderId="12" xfId="0" applyFont="1" applyFill="1" applyBorder="1" applyAlignment="1" applyProtection="1">
      <alignment horizontal="center" vertical="center" wrapText="1"/>
      <protection hidden="1"/>
    </xf>
    <xf numFmtId="0" fontId="17" fillId="3" borderId="13" xfId="0" applyFont="1" applyFill="1" applyBorder="1" applyAlignment="1" applyProtection="1">
      <alignment horizontal="center" vertical="center" wrapText="1"/>
      <protection hidden="1"/>
    </xf>
    <xf numFmtId="0" fontId="14" fillId="5" borderId="16" xfId="0" applyFont="1" applyFill="1" applyBorder="1" applyAlignment="1" applyProtection="1">
      <alignment horizontal="center" vertical="center" wrapText="1"/>
      <protection hidden="1"/>
    </xf>
    <xf numFmtId="0" fontId="14" fillId="5" borderId="14" xfId="0" applyFont="1" applyFill="1" applyBorder="1" applyAlignment="1" applyProtection="1">
      <alignment horizontal="center" vertical="center" wrapText="1"/>
      <protection hidden="1"/>
    </xf>
    <xf numFmtId="0" fontId="14" fillId="5" borderId="15" xfId="0" applyFont="1" applyFill="1" applyBorder="1" applyAlignment="1" applyProtection="1">
      <alignment horizontal="center" vertical="center" wrapText="1"/>
      <protection hidden="1"/>
    </xf>
    <xf numFmtId="0" fontId="14" fillId="5" borderId="7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center"/>
      <protection hidden="1"/>
    </xf>
    <xf numFmtId="0" fontId="14" fillId="5" borderId="8" xfId="0" applyFont="1" applyFill="1" applyBorder="1" applyAlignment="1" applyProtection="1">
      <alignment horizontal="center" vertical="center" wrapText="1"/>
      <protection hidden="1"/>
    </xf>
    <xf numFmtId="164" fontId="14" fillId="3" borderId="0" xfId="0" applyNumberFormat="1" applyFont="1" applyFill="1" applyAlignment="1" applyProtection="1">
      <alignment horizontal="center"/>
      <protection hidden="1"/>
    </xf>
    <xf numFmtId="0" fontId="13" fillId="3" borderId="9" xfId="0" applyFont="1" applyFill="1" applyBorder="1" applyProtection="1"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13" fillId="3" borderId="12" xfId="0" applyFont="1" applyFill="1" applyBorder="1" applyAlignment="1" applyProtection="1">
      <alignment horizontal="center" vertical="center" wrapText="1"/>
      <protection hidden="1"/>
    </xf>
    <xf numFmtId="0" fontId="13" fillId="3" borderId="13" xfId="0" applyFont="1" applyFill="1" applyBorder="1" applyAlignment="1" applyProtection="1">
      <alignment horizontal="center" vertical="center" wrapText="1"/>
      <protection hidden="1"/>
    </xf>
    <xf numFmtId="49" fontId="14" fillId="3" borderId="0" xfId="0" applyNumberFormat="1" applyFont="1" applyFill="1" applyAlignment="1" applyProtection="1">
      <alignment horizontal="left"/>
      <protection hidden="1"/>
    </xf>
    <xf numFmtId="164" fontId="15" fillId="3" borderId="0" xfId="0" applyNumberFormat="1" applyFont="1" applyFill="1" applyAlignment="1" applyProtection="1">
      <alignment horizontal="center"/>
      <protection hidden="1"/>
    </xf>
    <xf numFmtId="164" fontId="14" fillId="3" borderId="0" xfId="0" applyNumberFormat="1" applyFont="1" applyFill="1" applyProtection="1"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7" fillId="6" borderId="4" xfId="0" applyFont="1" applyFill="1" applyBorder="1" applyAlignment="1" applyProtection="1">
      <alignment horizontal="center"/>
      <protection locked="0" hidden="1"/>
    </xf>
    <xf numFmtId="0" fontId="17" fillId="6" borderId="5" xfId="0" applyFont="1" applyFill="1" applyBorder="1" applyAlignment="1" applyProtection="1">
      <alignment horizontal="center"/>
      <protection locked="0" hidden="1"/>
    </xf>
    <xf numFmtId="0" fontId="34" fillId="3" borderId="0" xfId="0" applyFont="1" applyFill="1" applyProtection="1">
      <protection hidden="1"/>
    </xf>
    <xf numFmtId="0" fontId="34" fillId="3" borderId="0" xfId="0" applyFont="1" applyFill="1" applyAlignment="1" applyProtection="1">
      <alignment horizontal="center"/>
      <protection hidden="1"/>
    </xf>
    <xf numFmtId="164" fontId="34" fillId="3" borderId="0" xfId="0" applyNumberFormat="1" applyFont="1" applyFill="1" applyProtection="1">
      <protection hidden="1"/>
    </xf>
    <xf numFmtId="0" fontId="35" fillId="3" borderId="0" xfId="0" applyFont="1" applyFill="1" applyAlignment="1" applyProtection="1">
      <alignment vertical="center" wrapText="1"/>
      <protection locked="0"/>
    </xf>
    <xf numFmtId="0" fontId="37" fillId="3" borderId="0" xfId="0" applyFont="1" applyFill="1" applyAlignment="1" applyProtection="1">
      <alignment vertical="center" wrapText="1"/>
      <protection locked="0"/>
    </xf>
    <xf numFmtId="0" fontId="38" fillId="3" borderId="0" xfId="3" applyFont="1" applyFill="1" applyAlignment="1" applyProtection="1">
      <alignment vertical="center" wrapText="1"/>
      <protection locked="0"/>
    </xf>
    <xf numFmtId="0" fontId="39" fillId="3" borderId="0" xfId="0" applyFont="1" applyFill="1" applyAlignment="1" applyProtection="1">
      <alignment vertical="center" wrapText="1"/>
      <protection locked="0"/>
    </xf>
    <xf numFmtId="0" fontId="40" fillId="3" borderId="0" xfId="0" applyFont="1" applyFill="1" applyAlignment="1">
      <alignment vertical="center"/>
    </xf>
    <xf numFmtId="0" fontId="40" fillId="3" borderId="0" xfId="0" applyFont="1" applyFill="1" applyAlignment="1">
      <alignment horizontal="left" vertical="top" wrapText="1"/>
    </xf>
    <xf numFmtId="0" fontId="14" fillId="0" borderId="0" xfId="0" applyFont="1" applyProtection="1">
      <protection hidden="1"/>
    </xf>
    <xf numFmtId="2" fontId="29" fillId="2" borderId="0" xfId="5" applyNumberFormat="1" applyFont="1" applyFill="1"/>
    <xf numFmtId="2" fontId="43" fillId="2" borderId="0" xfId="5" applyNumberFormat="1" applyFont="1" applyFill="1"/>
    <xf numFmtId="2" fontId="44" fillId="2" borderId="0" xfId="5" applyNumberFormat="1" applyFont="1" applyFill="1"/>
    <xf numFmtId="4" fontId="45" fillId="3" borderId="0" xfId="5" applyNumberFormat="1" applyFont="1" applyFill="1"/>
    <xf numFmtId="0" fontId="51" fillId="0" borderId="0" xfId="5"/>
    <xf numFmtId="0" fontId="45" fillId="3" borderId="0" xfId="5" applyFont="1" applyFill="1"/>
    <xf numFmtId="0" fontId="46" fillId="4" borderId="0" xfId="5" applyFont="1" applyFill="1" applyAlignment="1">
      <alignment horizontal="center"/>
    </xf>
    <xf numFmtId="4" fontId="45" fillId="3" borderId="0" xfId="5" applyNumberFormat="1" applyFont="1" applyFill="1" applyAlignment="1">
      <alignment horizontal="center"/>
    </xf>
    <xf numFmtId="0" fontId="47" fillId="4" borderId="0" xfId="5" applyFont="1" applyFill="1" applyAlignment="1">
      <alignment horizontal="center"/>
    </xf>
    <xf numFmtId="0" fontId="44" fillId="3" borderId="0" xfId="5" applyFont="1" applyFill="1"/>
    <xf numFmtId="4" fontId="48" fillId="3" borderId="0" xfId="5" applyNumberFormat="1" applyFont="1" applyFill="1"/>
    <xf numFmtId="0" fontId="49" fillId="4" borderId="0" xfId="5" applyFont="1" applyFill="1" applyAlignment="1">
      <alignment horizontal="left"/>
    </xf>
    <xf numFmtId="4" fontId="50" fillId="9" borderId="1" xfId="5" applyNumberFormat="1" applyFont="1" applyFill="1" applyBorder="1" applyAlignment="1">
      <alignment horizontal="center" vertical="center" wrapText="1"/>
    </xf>
    <xf numFmtId="4" fontId="52" fillId="9" borderId="1" xfId="5" applyNumberFormat="1" applyFont="1" applyFill="1" applyBorder="1" applyAlignment="1">
      <alignment horizontal="center" vertical="center" wrapText="1"/>
    </xf>
    <xf numFmtId="2" fontId="29" fillId="10" borderId="1" xfId="5" applyNumberFormat="1" applyFont="1" applyFill="1" applyBorder="1" applyAlignment="1">
      <alignment horizontal="center" vertical="center" wrapText="1"/>
    </xf>
    <xf numFmtId="2" fontId="29" fillId="2" borderId="1" xfId="5" applyNumberFormat="1" applyFont="1" applyFill="1" applyBorder="1"/>
    <xf numFmtId="1" fontId="29" fillId="2" borderId="1" xfId="5" applyNumberFormat="1" applyFont="1" applyFill="1" applyBorder="1" applyAlignment="1">
      <alignment horizontal="center"/>
    </xf>
    <xf numFmtId="4" fontId="52" fillId="11" borderId="1" xfId="5" applyNumberFormat="1" applyFont="1" applyFill="1" applyBorder="1" applyAlignment="1">
      <alignment horizontal="right" vertical="center" wrapText="1"/>
    </xf>
    <xf numFmtId="2" fontId="29" fillId="2" borderId="1" xfId="5" applyNumberFormat="1" applyFont="1" applyFill="1" applyBorder="1" applyAlignment="1">
      <alignment horizontal="center"/>
    </xf>
    <xf numFmtId="0" fontId="29" fillId="2" borderId="1" xfId="5" applyFont="1" applyFill="1" applyBorder="1" applyAlignment="1">
      <alignment horizontal="center"/>
    </xf>
    <xf numFmtId="0" fontId="54" fillId="0" borderId="0" xfId="5" applyFont="1"/>
    <xf numFmtId="0" fontId="40" fillId="3" borderId="0" xfId="0" applyFont="1" applyFill="1" applyAlignment="1">
      <alignment horizontal="left" vertical="center" wrapText="1"/>
    </xf>
    <xf numFmtId="0" fontId="41" fillId="3" borderId="0" xfId="0" applyFont="1" applyFill="1" applyAlignment="1">
      <alignment horizontal="center" vertical="center"/>
    </xf>
    <xf numFmtId="0" fontId="16" fillId="3" borderId="0" xfId="0" applyFont="1" applyFill="1" applyAlignment="1" applyProtection="1">
      <alignment horizontal="left" vertical="center" wrapText="1"/>
      <protection hidden="1"/>
    </xf>
    <xf numFmtId="0" fontId="15" fillId="5" borderId="9" xfId="0" applyFont="1" applyFill="1" applyBorder="1" applyAlignment="1" applyProtection="1">
      <alignment horizontal="center"/>
      <protection hidden="1"/>
    </xf>
    <xf numFmtId="0" fontId="15" fillId="5" borderId="0" xfId="0" applyFont="1" applyFill="1" applyAlignment="1" applyProtection="1">
      <alignment horizontal="center"/>
      <protection hidden="1"/>
    </xf>
    <xf numFmtId="0" fontId="15" fillId="5" borderId="10" xfId="0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center" vertical="center" wrapText="1"/>
      <protection hidden="1"/>
    </xf>
    <xf numFmtId="164" fontId="16" fillId="3" borderId="0" xfId="0" applyNumberFormat="1" applyFont="1" applyFill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horizontal="center" vertical="center" wrapText="1"/>
      <protection hidden="1"/>
    </xf>
    <xf numFmtId="0" fontId="8" fillId="3" borderId="0" xfId="0" applyFont="1" applyFill="1" applyAlignment="1" applyProtection="1">
      <alignment horizontal="center" wrapText="1"/>
      <protection hidden="1"/>
    </xf>
    <xf numFmtId="0" fontId="9" fillId="3" borderId="0" xfId="0" applyFont="1" applyFill="1" applyAlignment="1" applyProtection="1">
      <alignment horizontal="center" wrapText="1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 vertical="top"/>
      <protection hidden="1"/>
    </xf>
    <xf numFmtId="0" fontId="8" fillId="3" borderId="0" xfId="0" applyFont="1" applyFill="1" applyAlignment="1" applyProtection="1">
      <alignment horizontal="center" vertical="top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2" fillId="5" borderId="0" xfId="0" applyFont="1" applyFill="1" applyAlignment="1" applyProtection="1">
      <alignment horizontal="center" vertical="center"/>
      <protection hidden="1"/>
    </xf>
    <xf numFmtId="0" fontId="37" fillId="3" borderId="0" xfId="0" applyFont="1" applyFill="1" applyAlignment="1" applyProtection="1">
      <alignment vertical="center" wrapText="1"/>
      <protection locked="0"/>
    </xf>
    <xf numFmtId="0" fontId="37" fillId="3" borderId="0" xfId="0" applyFont="1" applyFill="1" applyAlignment="1" applyProtection="1">
      <alignment horizontal="left" vertical="center" wrapText="1"/>
      <protection locked="0"/>
    </xf>
    <xf numFmtId="0" fontId="33" fillId="3" borderId="0" xfId="0" applyFont="1" applyFill="1" applyAlignment="1">
      <alignment horizontal="center"/>
    </xf>
    <xf numFmtId="0" fontId="35" fillId="3" borderId="0" xfId="0" applyFont="1" applyFill="1" applyAlignment="1" applyProtection="1">
      <alignment vertical="center" wrapText="1"/>
      <protection locked="0"/>
    </xf>
  </cellXfs>
  <cellStyles count="6">
    <cellStyle name="Standard 2" xfId="1" xr:uid="{00000000-0005-0000-0000-000000000000}"/>
    <cellStyle name="Гіперпосилання" xfId="3" builtinId="8"/>
    <cellStyle name="Гіперпосилання 2" xfId="2" xr:uid="{00000000-0005-0000-0000-000003000000}"/>
    <cellStyle name="Звичайний" xfId="0" builtinId="0"/>
    <cellStyle name="Звичайний 2" xfId="5" xr:uid="{9D5699DA-E7EA-4125-9B8D-68DB20060AEB}"/>
    <cellStyle name="Обычный 2 2" xfId="4" xr:uid="{2B9037C3-27CF-4822-B58D-8A7E353DF147}"/>
  </cellStyles>
  <dxfs count="26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top style="thin">
          <color rgb="FFC00000"/>
        </top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rgb="FF203764"/>
        </top>
        <vertical/>
        <horizontal/>
      </border>
    </dxf>
    <dxf>
      <border>
        <left style="thin">
          <color rgb="FF203764"/>
        </left>
        <vertical/>
        <horizontal/>
      </border>
    </dxf>
    <dxf>
      <border>
        <top style="thin">
          <color rgb="FFC00000"/>
        </top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top style="thin">
          <color rgb="FF203764"/>
        </top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left style="thin">
          <color rgb="FF203764"/>
        </left>
        <vertical/>
        <horizontal/>
      </border>
    </dxf>
    <dxf>
      <border>
        <left style="thin">
          <color rgb="FFC00000"/>
        </left>
        <vertical/>
        <horizontal/>
      </border>
    </dxf>
    <dxf>
      <border>
        <left style="thin">
          <color rgb="FF8CD600"/>
        </left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C00000"/>
        </top>
        <vertical/>
        <horizontal/>
      </border>
    </dxf>
    <dxf>
      <border>
        <top style="thin">
          <color rgb="FFC00000"/>
        </top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203764"/>
        </top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right/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left style="thin">
          <color rgb="FF203764"/>
        </left>
        <vertical/>
        <horizontal/>
      </border>
    </dxf>
    <dxf>
      <border>
        <bottom style="thin">
          <color rgb="FFFFA300"/>
        </bottom>
        <vertical/>
        <horizontal/>
      </border>
    </dxf>
    <dxf>
      <border>
        <left style="thin">
          <color rgb="FF203764"/>
        </left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left style="thin">
          <color rgb="FF203764"/>
        </left>
        <vertical/>
        <horizontal/>
      </border>
    </dxf>
    <dxf>
      <border>
        <left style="thin">
          <color rgb="FF8CD600"/>
        </left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theme="1"/>
        </top>
        <vertical/>
        <horizontal/>
      </border>
    </dxf>
    <dxf>
      <border>
        <right style="thin">
          <color theme="1"/>
        </right>
        <vertical/>
        <horizontal/>
      </border>
    </dxf>
    <dxf>
      <fill>
        <patternFill>
          <bgColor rgb="FFC00000"/>
        </patternFill>
      </fill>
    </dxf>
    <dxf>
      <fill>
        <patternFill>
          <bgColor rgb="FF8CD600"/>
        </patternFill>
      </fill>
    </dxf>
    <dxf>
      <fill>
        <patternFill>
          <bgColor rgb="FFFFA300"/>
        </patternFill>
      </fill>
    </dxf>
    <dxf>
      <fill>
        <patternFill>
          <bgColor rgb="FF203764"/>
        </patternFill>
      </fill>
    </dxf>
    <dxf>
      <font>
        <color rgb="FFFFA300"/>
      </font>
      <fill>
        <patternFill>
          <bgColor rgb="FFFFA300"/>
        </patternFill>
      </fill>
    </dxf>
    <dxf>
      <font>
        <color rgb="FF203764"/>
      </font>
      <fill>
        <patternFill>
          <bgColor rgb="FF203764"/>
        </patternFill>
      </fill>
    </dxf>
    <dxf>
      <font>
        <color rgb="FF8CD600"/>
      </font>
      <fill>
        <patternFill>
          <bgColor rgb="FF8CD600"/>
        </patternFill>
      </fill>
    </dxf>
    <dxf>
      <font>
        <color rgb="FFC00000"/>
      </font>
      <fill>
        <patternFill>
          <bgColor rgb="FFC00000"/>
        </patternFill>
      </fill>
    </dxf>
    <dxf>
      <border>
        <top style="thin">
          <color rgb="FFC00000"/>
        </top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rgb="FF203764"/>
        </top>
        <vertical/>
        <horizontal/>
      </border>
    </dxf>
    <dxf>
      <border>
        <left style="thin">
          <color rgb="FF203764"/>
        </left>
        <vertical/>
        <horizontal/>
      </border>
    </dxf>
    <dxf>
      <border>
        <top style="thin">
          <color rgb="FFC00000"/>
        </top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top style="thin">
          <color rgb="FF203764"/>
        </top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left style="thin">
          <color rgb="FF203764"/>
        </left>
        <vertical/>
        <horizontal/>
      </border>
    </dxf>
    <dxf>
      <border>
        <left style="thin">
          <color rgb="FFC00000"/>
        </left>
        <vertical/>
        <horizontal/>
      </border>
    </dxf>
    <dxf>
      <border>
        <left style="thin">
          <color rgb="FF8CD600"/>
        </left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left style="thin">
          <color rgb="FF203764"/>
        </left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C00000"/>
        </top>
        <vertical/>
        <horizontal/>
      </border>
    </dxf>
    <dxf>
      <border>
        <top style="thin">
          <color rgb="FFC00000"/>
        </top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203764"/>
        </top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right/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left style="thin">
          <color rgb="FF203764"/>
        </left>
        <vertical/>
        <horizontal/>
      </border>
    </dxf>
    <dxf>
      <border>
        <bottom style="thin">
          <color rgb="FFFFA300"/>
        </bottom>
        <vertical/>
        <horizontal/>
      </border>
    </dxf>
    <dxf>
      <border>
        <left style="thin">
          <color rgb="FF203764"/>
        </left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left style="thin">
          <color rgb="FF203764"/>
        </left>
        <vertical/>
        <horizontal/>
      </border>
    </dxf>
    <dxf>
      <border>
        <left style="thin">
          <color rgb="FF8CD600"/>
        </left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theme="1"/>
        </top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rgb="FFC00000"/>
        </patternFill>
      </fill>
    </dxf>
    <dxf>
      <fill>
        <patternFill>
          <bgColor rgb="FF8CD600"/>
        </patternFill>
      </fill>
    </dxf>
    <dxf>
      <fill>
        <patternFill>
          <bgColor rgb="FFFFA300"/>
        </patternFill>
      </fill>
    </dxf>
    <dxf>
      <fill>
        <patternFill>
          <bgColor rgb="FF203764"/>
        </patternFill>
      </fill>
    </dxf>
    <dxf>
      <font>
        <color rgb="FFFFA300"/>
      </font>
      <fill>
        <patternFill>
          <bgColor rgb="FFFFA300"/>
        </patternFill>
      </fill>
    </dxf>
    <dxf>
      <font>
        <color rgb="FF203764"/>
      </font>
      <fill>
        <patternFill>
          <bgColor rgb="FF203764"/>
        </patternFill>
      </fill>
    </dxf>
    <dxf>
      <font>
        <color rgb="FF8CD600"/>
      </font>
      <fill>
        <patternFill>
          <bgColor rgb="FF8CD600"/>
        </patternFill>
      </fill>
    </dxf>
    <dxf>
      <font>
        <color rgb="FFC00000"/>
      </font>
      <fill>
        <patternFill>
          <bgColor rgb="FFC00000"/>
        </patternFill>
      </fill>
    </dxf>
    <dxf>
      <border>
        <top style="thin">
          <color rgb="FFC00000"/>
        </top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rgb="FF203764"/>
        </top>
        <vertical/>
        <horizontal/>
      </border>
    </dxf>
    <dxf>
      <border>
        <left style="thin">
          <color rgb="FF203764"/>
        </left>
        <vertical/>
        <horizontal/>
      </border>
    </dxf>
    <dxf>
      <border>
        <top style="thin">
          <color rgb="FFC00000"/>
        </top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top style="thin">
          <color rgb="FF203764"/>
        </top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left style="thin">
          <color rgb="FF203764"/>
        </left>
        <vertical/>
        <horizontal/>
      </border>
    </dxf>
    <dxf>
      <border>
        <left style="thin">
          <color rgb="FFC00000"/>
        </left>
        <vertical/>
        <horizontal/>
      </border>
    </dxf>
    <dxf>
      <border>
        <left style="thin">
          <color rgb="FF8CD600"/>
        </left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C00000"/>
        </top>
        <vertical/>
        <horizontal/>
      </border>
    </dxf>
    <dxf>
      <border>
        <top style="thin">
          <color rgb="FFC00000"/>
        </top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203764"/>
        </top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right/>
        <vertical/>
        <horizontal/>
      </border>
    </dxf>
    <dxf>
      <border>
        <left style="thin">
          <color rgb="FFC000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rgb="FF8CD600"/>
        </top>
        <vertical/>
        <horizontal/>
      </border>
    </dxf>
    <dxf>
      <border>
        <left style="thin">
          <color rgb="FF8CD600"/>
        </left>
        <vertical/>
        <horizontal/>
      </border>
    </dxf>
    <dxf>
      <border>
        <left style="thin">
          <color rgb="FF203764"/>
        </left>
        <vertical/>
        <horizontal/>
      </border>
    </dxf>
    <dxf>
      <border>
        <bottom style="thin">
          <color rgb="FFFFA300"/>
        </bottom>
        <vertical/>
        <horizontal/>
      </border>
    </dxf>
    <dxf>
      <border>
        <left style="thin">
          <color rgb="FF203764"/>
        </left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rgb="FFFFA300"/>
        </top>
        <vertical/>
        <horizontal/>
      </border>
    </dxf>
    <dxf>
      <border>
        <left style="thin">
          <color rgb="FFFFA300"/>
        </left>
        <vertical/>
        <horizontal/>
      </border>
    </dxf>
    <dxf>
      <border>
        <left style="thin">
          <color rgb="FF203764"/>
        </left>
        <vertical/>
        <horizontal/>
      </border>
    </dxf>
    <dxf>
      <border>
        <left style="thin">
          <color rgb="FF8CD600"/>
        </left>
        <vertical/>
        <horizontal/>
      </border>
    </dxf>
    <dxf>
      <border>
        <left style="thin">
          <color rgb="FFFFA300"/>
        </left>
        <vertical/>
        <horizontal/>
      </border>
    </dxf>
    <dxf>
      <border>
        <top style="thin">
          <color theme="1"/>
        </top>
        <vertical/>
        <horizontal/>
      </border>
    </dxf>
    <dxf>
      <border>
        <right style="thin">
          <color theme="1"/>
        </right>
      </border>
    </dxf>
    <dxf>
      <fill>
        <patternFill>
          <bgColor rgb="FFC00000"/>
        </patternFill>
      </fill>
    </dxf>
    <dxf>
      <fill>
        <patternFill>
          <bgColor rgb="FF8CD600"/>
        </patternFill>
      </fill>
    </dxf>
    <dxf>
      <fill>
        <patternFill>
          <bgColor rgb="FFFFA300"/>
        </patternFill>
      </fill>
    </dxf>
    <dxf>
      <fill>
        <patternFill>
          <bgColor rgb="FF203764"/>
        </patternFill>
      </fill>
    </dxf>
    <dxf>
      <font>
        <color rgb="FFFFA300"/>
      </font>
      <fill>
        <patternFill>
          <bgColor rgb="FFFFA300"/>
        </patternFill>
      </fill>
    </dxf>
    <dxf>
      <font>
        <color rgb="FF203764"/>
      </font>
      <fill>
        <patternFill>
          <bgColor rgb="FF203764"/>
        </patternFill>
      </fill>
    </dxf>
    <dxf>
      <font>
        <color rgb="FF8CD600"/>
      </font>
      <fill>
        <patternFill>
          <bgColor rgb="FF8CD600"/>
        </patternFill>
      </fill>
    </dxf>
    <dxf>
      <font>
        <color rgb="FFC00000"/>
      </font>
      <fill>
        <patternFill>
          <bgColor rgb="FFC00000"/>
        </patternFill>
      </fill>
    </dxf>
    <dxf>
      <font>
        <strike/>
      </font>
      <fill>
        <patternFill>
          <bgColor theme="2"/>
        </patternFill>
      </fill>
      <border>
        <left style="thin">
          <color rgb="FF203764"/>
        </left>
      </border>
    </dxf>
    <dxf>
      <font>
        <strike/>
      </font>
      <fill>
        <patternFill>
          <bgColor theme="2"/>
        </patternFill>
      </fill>
      <border>
        <left style="thin">
          <color rgb="FF203764"/>
        </left>
      </border>
    </dxf>
    <dxf>
      <font>
        <strike/>
      </font>
      <fill>
        <patternFill>
          <bgColor theme="2"/>
        </patternFill>
      </fill>
      <border>
        <left style="thin">
          <color rgb="FF203764"/>
        </left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2C8"/>
      <color rgb="FFDDE5ED"/>
      <color rgb="FF203764"/>
      <color rgb="FFA2BCD2"/>
      <color rgb="FFFFA300"/>
      <color rgb="FFC00000"/>
      <color rgb="FF8CD600"/>
      <color rgb="FFE72D19"/>
      <color rgb="FFFCE300"/>
      <color rgb="FF333F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26" Type="http://schemas.openxmlformats.org/officeDocument/2006/relationships/image" Target="../media/image27.png"/><Relationship Id="rId3" Type="http://schemas.openxmlformats.org/officeDocument/2006/relationships/image" Target="../media/image5.jpeg"/><Relationship Id="rId21" Type="http://schemas.openxmlformats.org/officeDocument/2006/relationships/image" Target="../media/image23.png"/><Relationship Id="rId7" Type="http://schemas.openxmlformats.org/officeDocument/2006/relationships/image" Target="../media/image9.pn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5" Type="http://schemas.openxmlformats.org/officeDocument/2006/relationships/image" Target="../media/image26.png"/><Relationship Id="rId2" Type="http://schemas.openxmlformats.org/officeDocument/2006/relationships/image" Target="../media/image4.jpeg"/><Relationship Id="rId16" Type="http://schemas.openxmlformats.org/officeDocument/2006/relationships/image" Target="../media/image18.jpeg"/><Relationship Id="rId20" Type="http://schemas.openxmlformats.org/officeDocument/2006/relationships/image" Target="../media/image22.jpeg"/><Relationship Id="rId1" Type="http://schemas.openxmlformats.org/officeDocument/2006/relationships/image" Target="../media/image3.jpeg"/><Relationship Id="rId6" Type="http://schemas.openxmlformats.org/officeDocument/2006/relationships/image" Target="../media/image8.png"/><Relationship Id="rId11" Type="http://schemas.openxmlformats.org/officeDocument/2006/relationships/image" Target="../media/image13.jpeg"/><Relationship Id="rId24" Type="http://schemas.openxmlformats.org/officeDocument/2006/relationships/image" Target="../media/image25.jpeg"/><Relationship Id="rId5" Type="http://schemas.openxmlformats.org/officeDocument/2006/relationships/image" Target="../media/image7.png"/><Relationship Id="rId15" Type="http://schemas.openxmlformats.org/officeDocument/2006/relationships/image" Target="../media/image17.jpeg"/><Relationship Id="rId23" Type="http://schemas.microsoft.com/office/2007/relationships/hdphoto" Target="../media/hdphoto1.wdp"/><Relationship Id="rId28" Type="http://schemas.openxmlformats.org/officeDocument/2006/relationships/image" Target="../media/image29.png"/><Relationship Id="rId10" Type="http://schemas.openxmlformats.org/officeDocument/2006/relationships/image" Target="../media/image12.jpeg"/><Relationship Id="rId19" Type="http://schemas.openxmlformats.org/officeDocument/2006/relationships/image" Target="../media/image21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Relationship Id="rId22" Type="http://schemas.openxmlformats.org/officeDocument/2006/relationships/image" Target="../media/image24.png"/><Relationship Id="rId27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31.emf"/><Relationship Id="rId1" Type="http://schemas.openxmlformats.org/officeDocument/2006/relationships/image" Target="../media/image30.emf"/><Relationship Id="rId5" Type="http://schemas.openxmlformats.org/officeDocument/2006/relationships/image" Target="../media/image34.png"/><Relationship Id="rId4" Type="http://schemas.openxmlformats.org/officeDocument/2006/relationships/image" Target="../media/image3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emf"/><Relationship Id="rId13" Type="http://schemas.openxmlformats.org/officeDocument/2006/relationships/image" Target="../media/image48.emf"/><Relationship Id="rId18" Type="http://schemas.openxmlformats.org/officeDocument/2006/relationships/image" Target="../media/image53.emf"/><Relationship Id="rId26" Type="http://schemas.openxmlformats.org/officeDocument/2006/relationships/image" Target="../media/image61.png"/><Relationship Id="rId3" Type="http://schemas.openxmlformats.org/officeDocument/2006/relationships/image" Target="../media/image38.emf"/><Relationship Id="rId21" Type="http://schemas.openxmlformats.org/officeDocument/2006/relationships/image" Target="../media/image56.emf"/><Relationship Id="rId7" Type="http://schemas.openxmlformats.org/officeDocument/2006/relationships/image" Target="../media/image42.emf"/><Relationship Id="rId12" Type="http://schemas.openxmlformats.org/officeDocument/2006/relationships/image" Target="../media/image47.emf"/><Relationship Id="rId17" Type="http://schemas.openxmlformats.org/officeDocument/2006/relationships/image" Target="../media/image52.emf"/><Relationship Id="rId25" Type="http://schemas.openxmlformats.org/officeDocument/2006/relationships/image" Target="../media/image60.emf"/><Relationship Id="rId2" Type="http://schemas.openxmlformats.org/officeDocument/2006/relationships/image" Target="../media/image37.emf"/><Relationship Id="rId16" Type="http://schemas.openxmlformats.org/officeDocument/2006/relationships/image" Target="../media/image51.emf"/><Relationship Id="rId20" Type="http://schemas.openxmlformats.org/officeDocument/2006/relationships/image" Target="../media/image55.emf"/><Relationship Id="rId1" Type="http://schemas.openxmlformats.org/officeDocument/2006/relationships/image" Target="../media/image36.emf"/><Relationship Id="rId6" Type="http://schemas.openxmlformats.org/officeDocument/2006/relationships/image" Target="../media/image41.emf"/><Relationship Id="rId11" Type="http://schemas.openxmlformats.org/officeDocument/2006/relationships/image" Target="../media/image46.emf"/><Relationship Id="rId24" Type="http://schemas.openxmlformats.org/officeDocument/2006/relationships/image" Target="../media/image59.emf"/><Relationship Id="rId5" Type="http://schemas.openxmlformats.org/officeDocument/2006/relationships/image" Target="../media/image40.emf"/><Relationship Id="rId15" Type="http://schemas.openxmlformats.org/officeDocument/2006/relationships/image" Target="../media/image50.emf"/><Relationship Id="rId23" Type="http://schemas.openxmlformats.org/officeDocument/2006/relationships/image" Target="../media/image58.emf"/><Relationship Id="rId10" Type="http://schemas.openxmlformats.org/officeDocument/2006/relationships/image" Target="../media/image45.emf"/><Relationship Id="rId19" Type="http://schemas.openxmlformats.org/officeDocument/2006/relationships/image" Target="../media/image54.emf"/><Relationship Id="rId4" Type="http://schemas.openxmlformats.org/officeDocument/2006/relationships/image" Target="../media/image39.emf"/><Relationship Id="rId9" Type="http://schemas.openxmlformats.org/officeDocument/2006/relationships/image" Target="../media/image44.emf"/><Relationship Id="rId14" Type="http://schemas.openxmlformats.org/officeDocument/2006/relationships/image" Target="../media/image49.emf"/><Relationship Id="rId22" Type="http://schemas.openxmlformats.org/officeDocument/2006/relationships/image" Target="../media/image57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1.emf"/><Relationship Id="rId13" Type="http://schemas.openxmlformats.org/officeDocument/2006/relationships/image" Target="../media/image96.emf"/><Relationship Id="rId18" Type="http://schemas.openxmlformats.org/officeDocument/2006/relationships/image" Target="../media/image101.emf"/><Relationship Id="rId3" Type="http://schemas.openxmlformats.org/officeDocument/2006/relationships/image" Target="../media/image88.emf"/><Relationship Id="rId21" Type="http://schemas.openxmlformats.org/officeDocument/2006/relationships/image" Target="../media/image104.emf"/><Relationship Id="rId7" Type="http://schemas.openxmlformats.org/officeDocument/2006/relationships/image" Target="../media/image90.emf"/><Relationship Id="rId12" Type="http://schemas.openxmlformats.org/officeDocument/2006/relationships/image" Target="../media/image95.emf"/><Relationship Id="rId17" Type="http://schemas.openxmlformats.org/officeDocument/2006/relationships/image" Target="../media/image100.emf"/><Relationship Id="rId25" Type="http://schemas.openxmlformats.org/officeDocument/2006/relationships/image" Target="../media/image108.emf"/><Relationship Id="rId2" Type="http://schemas.openxmlformats.org/officeDocument/2006/relationships/image" Target="../media/image87.emf"/><Relationship Id="rId16" Type="http://schemas.openxmlformats.org/officeDocument/2006/relationships/image" Target="../media/image99.emf"/><Relationship Id="rId20" Type="http://schemas.openxmlformats.org/officeDocument/2006/relationships/image" Target="../media/image103.emf"/><Relationship Id="rId1" Type="http://schemas.openxmlformats.org/officeDocument/2006/relationships/image" Target="../media/image36.emf"/><Relationship Id="rId6" Type="http://schemas.openxmlformats.org/officeDocument/2006/relationships/image" Target="../media/image89.emf"/><Relationship Id="rId11" Type="http://schemas.openxmlformats.org/officeDocument/2006/relationships/image" Target="../media/image94.emf"/><Relationship Id="rId24" Type="http://schemas.openxmlformats.org/officeDocument/2006/relationships/image" Target="../media/image107.emf"/><Relationship Id="rId5" Type="http://schemas.openxmlformats.org/officeDocument/2006/relationships/image" Target="../media/image61.png"/><Relationship Id="rId15" Type="http://schemas.openxmlformats.org/officeDocument/2006/relationships/image" Target="../media/image98.emf"/><Relationship Id="rId23" Type="http://schemas.openxmlformats.org/officeDocument/2006/relationships/image" Target="../media/image106.emf"/><Relationship Id="rId10" Type="http://schemas.openxmlformats.org/officeDocument/2006/relationships/image" Target="../media/image93.emf"/><Relationship Id="rId19" Type="http://schemas.openxmlformats.org/officeDocument/2006/relationships/image" Target="../media/image102.emf"/><Relationship Id="rId4" Type="http://schemas.openxmlformats.org/officeDocument/2006/relationships/image" Target="../media/image39.emf"/><Relationship Id="rId9" Type="http://schemas.openxmlformats.org/officeDocument/2006/relationships/image" Target="../media/image92.emf"/><Relationship Id="rId14" Type="http://schemas.openxmlformats.org/officeDocument/2006/relationships/image" Target="../media/image97.emf"/><Relationship Id="rId22" Type="http://schemas.openxmlformats.org/officeDocument/2006/relationships/image" Target="../media/image105.emf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1.emf"/><Relationship Id="rId18" Type="http://schemas.openxmlformats.org/officeDocument/2006/relationships/image" Target="../media/image146.emf"/><Relationship Id="rId26" Type="http://schemas.openxmlformats.org/officeDocument/2006/relationships/image" Target="../media/image154.emf"/><Relationship Id="rId3" Type="http://schemas.openxmlformats.org/officeDocument/2006/relationships/image" Target="../media/image131.emf"/><Relationship Id="rId21" Type="http://schemas.openxmlformats.org/officeDocument/2006/relationships/image" Target="../media/image149.emf"/><Relationship Id="rId34" Type="http://schemas.openxmlformats.org/officeDocument/2006/relationships/image" Target="../media/image162.emf"/><Relationship Id="rId7" Type="http://schemas.openxmlformats.org/officeDocument/2006/relationships/image" Target="../media/image135.emf"/><Relationship Id="rId12" Type="http://schemas.openxmlformats.org/officeDocument/2006/relationships/image" Target="../media/image140.emf"/><Relationship Id="rId17" Type="http://schemas.openxmlformats.org/officeDocument/2006/relationships/image" Target="../media/image145.emf"/><Relationship Id="rId25" Type="http://schemas.openxmlformats.org/officeDocument/2006/relationships/image" Target="../media/image153.emf"/><Relationship Id="rId33" Type="http://schemas.openxmlformats.org/officeDocument/2006/relationships/image" Target="../media/image161.emf"/><Relationship Id="rId2" Type="http://schemas.openxmlformats.org/officeDocument/2006/relationships/image" Target="../media/image61.png"/><Relationship Id="rId16" Type="http://schemas.openxmlformats.org/officeDocument/2006/relationships/image" Target="../media/image144.emf"/><Relationship Id="rId20" Type="http://schemas.openxmlformats.org/officeDocument/2006/relationships/image" Target="../media/image148.emf"/><Relationship Id="rId29" Type="http://schemas.openxmlformats.org/officeDocument/2006/relationships/image" Target="../media/image157.emf"/><Relationship Id="rId1" Type="http://schemas.openxmlformats.org/officeDocument/2006/relationships/image" Target="../media/image39.emf"/><Relationship Id="rId6" Type="http://schemas.openxmlformats.org/officeDocument/2006/relationships/image" Target="../media/image134.emf"/><Relationship Id="rId11" Type="http://schemas.openxmlformats.org/officeDocument/2006/relationships/image" Target="../media/image139.emf"/><Relationship Id="rId24" Type="http://schemas.openxmlformats.org/officeDocument/2006/relationships/image" Target="../media/image152.emf"/><Relationship Id="rId32" Type="http://schemas.openxmlformats.org/officeDocument/2006/relationships/image" Target="../media/image160.emf"/><Relationship Id="rId5" Type="http://schemas.openxmlformats.org/officeDocument/2006/relationships/image" Target="../media/image133.emf"/><Relationship Id="rId15" Type="http://schemas.openxmlformats.org/officeDocument/2006/relationships/image" Target="../media/image143.emf"/><Relationship Id="rId23" Type="http://schemas.openxmlformats.org/officeDocument/2006/relationships/image" Target="../media/image151.emf"/><Relationship Id="rId28" Type="http://schemas.openxmlformats.org/officeDocument/2006/relationships/image" Target="../media/image156.emf"/><Relationship Id="rId10" Type="http://schemas.openxmlformats.org/officeDocument/2006/relationships/image" Target="../media/image138.emf"/><Relationship Id="rId19" Type="http://schemas.openxmlformats.org/officeDocument/2006/relationships/image" Target="../media/image147.emf"/><Relationship Id="rId31" Type="http://schemas.openxmlformats.org/officeDocument/2006/relationships/image" Target="../media/image159.emf"/><Relationship Id="rId4" Type="http://schemas.openxmlformats.org/officeDocument/2006/relationships/image" Target="../media/image132.emf"/><Relationship Id="rId9" Type="http://schemas.openxmlformats.org/officeDocument/2006/relationships/image" Target="../media/image137.emf"/><Relationship Id="rId14" Type="http://schemas.openxmlformats.org/officeDocument/2006/relationships/image" Target="../media/image142.emf"/><Relationship Id="rId22" Type="http://schemas.openxmlformats.org/officeDocument/2006/relationships/image" Target="../media/image150.emf"/><Relationship Id="rId27" Type="http://schemas.openxmlformats.org/officeDocument/2006/relationships/image" Target="../media/image155.emf"/><Relationship Id="rId30" Type="http://schemas.openxmlformats.org/officeDocument/2006/relationships/image" Target="../media/image158.emf"/><Relationship Id="rId35" Type="http://schemas.openxmlformats.org/officeDocument/2006/relationships/image" Target="../media/image163.emf"/><Relationship Id="rId8" Type="http://schemas.openxmlformats.org/officeDocument/2006/relationships/image" Target="../media/image13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8.jpeg"/><Relationship Id="rId1" Type="http://schemas.openxmlformats.org/officeDocument/2006/relationships/image" Target="../media/image197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69.emf"/><Relationship Id="rId13" Type="http://schemas.openxmlformats.org/officeDocument/2006/relationships/image" Target="../media/image74.emf"/><Relationship Id="rId18" Type="http://schemas.openxmlformats.org/officeDocument/2006/relationships/image" Target="../media/image79.emf"/><Relationship Id="rId3" Type="http://schemas.openxmlformats.org/officeDocument/2006/relationships/image" Target="../media/image64.emf"/><Relationship Id="rId21" Type="http://schemas.openxmlformats.org/officeDocument/2006/relationships/image" Target="../media/image82.emf"/><Relationship Id="rId7" Type="http://schemas.openxmlformats.org/officeDocument/2006/relationships/image" Target="../media/image68.emf"/><Relationship Id="rId12" Type="http://schemas.openxmlformats.org/officeDocument/2006/relationships/image" Target="../media/image73.emf"/><Relationship Id="rId17" Type="http://schemas.openxmlformats.org/officeDocument/2006/relationships/image" Target="../media/image78.emf"/><Relationship Id="rId25" Type="http://schemas.openxmlformats.org/officeDocument/2006/relationships/image" Target="../media/image86.emf"/><Relationship Id="rId2" Type="http://schemas.openxmlformats.org/officeDocument/2006/relationships/image" Target="../media/image63.emf"/><Relationship Id="rId16" Type="http://schemas.openxmlformats.org/officeDocument/2006/relationships/image" Target="../media/image77.emf"/><Relationship Id="rId20" Type="http://schemas.openxmlformats.org/officeDocument/2006/relationships/image" Target="../media/image81.emf"/><Relationship Id="rId1" Type="http://schemas.openxmlformats.org/officeDocument/2006/relationships/image" Target="../media/image62.emf"/><Relationship Id="rId6" Type="http://schemas.openxmlformats.org/officeDocument/2006/relationships/image" Target="../media/image67.emf"/><Relationship Id="rId11" Type="http://schemas.openxmlformats.org/officeDocument/2006/relationships/image" Target="../media/image72.emf"/><Relationship Id="rId24" Type="http://schemas.openxmlformats.org/officeDocument/2006/relationships/image" Target="../media/image85.emf"/><Relationship Id="rId5" Type="http://schemas.openxmlformats.org/officeDocument/2006/relationships/image" Target="../media/image66.emf"/><Relationship Id="rId15" Type="http://schemas.openxmlformats.org/officeDocument/2006/relationships/image" Target="../media/image76.emf"/><Relationship Id="rId23" Type="http://schemas.openxmlformats.org/officeDocument/2006/relationships/image" Target="../media/image84.emf"/><Relationship Id="rId10" Type="http://schemas.openxmlformats.org/officeDocument/2006/relationships/image" Target="../media/image71.emf"/><Relationship Id="rId19" Type="http://schemas.openxmlformats.org/officeDocument/2006/relationships/image" Target="../media/image80.emf"/><Relationship Id="rId4" Type="http://schemas.openxmlformats.org/officeDocument/2006/relationships/image" Target="../media/image65.emf"/><Relationship Id="rId9" Type="http://schemas.openxmlformats.org/officeDocument/2006/relationships/image" Target="../media/image70.emf"/><Relationship Id="rId14" Type="http://schemas.openxmlformats.org/officeDocument/2006/relationships/image" Target="../media/image75.emf"/><Relationship Id="rId22" Type="http://schemas.openxmlformats.org/officeDocument/2006/relationships/image" Target="../media/image83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114.emf"/><Relationship Id="rId13" Type="http://schemas.openxmlformats.org/officeDocument/2006/relationships/image" Target="../media/image119.emf"/><Relationship Id="rId18" Type="http://schemas.openxmlformats.org/officeDocument/2006/relationships/image" Target="../media/image124.emf"/><Relationship Id="rId3" Type="http://schemas.openxmlformats.org/officeDocument/2006/relationships/image" Target="../media/image110.emf"/><Relationship Id="rId21" Type="http://schemas.openxmlformats.org/officeDocument/2006/relationships/image" Target="../media/image127.emf"/><Relationship Id="rId7" Type="http://schemas.openxmlformats.org/officeDocument/2006/relationships/image" Target="../media/image113.emf"/><Relationship Id="rId12" Type="http://schemas.openxmlformats.org/officeDocument/2006/relationships/image" Target="../media/image118.emf"/><Relationship Id="rId17" Type="http://schemas.openxmlformats.org/officeDocument/2006/relationships/image" Target="../media/image123.emf"/><Relationship Id="rId2" Type="http://schemas.openxmlformats.org/officeDocument/2006/relationships/image" Target="../media/image109.emf"/><Relationship Id="rId16" Type="http://schemas.openxmlformats.org/officeDocument/2006/relationships/image" Target="../media/image122.emf"/><Relationship Id="rId20" Type="http://schemas.openxmlformats.org/officeDocument/2006/relationships/image" Target="../media/image126.emf"/><Relationship Id="rId1" Type="http://schemas.openxmlformats.org/officeDocument/2006/relationships/image" Target="../media/image62.emf"/><Relationship Id="rId6" Type="http://schemas.openxmlformats.org/officeDocument/2006/relationships/image" Target="../media/image112.emf"/><Relationship Id="rId11" Type="http://schemas.openxmlformats.org/officeDocument/2006/relationships/image" Target="../media/image117.emf"/><Relationship Id="rId24" Type="http://schemas.openxmlformats.org/officeDocument/2006/relationships/image" Target="../media/image130.emf"/><Relationship Id="rId5" Type="http://schemas.openxmlformats.org/officeDocument/2006/relationships/image" Target="../media/image111.emf"/><Relationship Id="rId15" Type="http://schemas.openxmlformats.org/officeDocument/2006/relationships/image" Target="../media/image121.emf"/><Relationship Id="rId23" Type="http://schemas.openxmlformats.org/officeDocument/2006/relationships/image" Target="../media/image129.emf"/><Relationship Id="rId10" Type="http://schemas.openxmlformats.org/officeDocument/2006/relationships/image" Target="../media/image116.emf"/><Relationship Id="rId19" Type="http://schemas.openxmlformats.org/officeDocument/2006/relationships/image" Target="../media/image125.emf"/><Relationship Id="rId4" Type="http://schemas.openxmlformats.org/officeDocument/2006/relationships/image" Target="../media/image65.emf"/><Relationship Id="rId9" Type="http://schemas.openxmlformats.org/officeDocument/2006/relationships/image" Target="../media/image115.emf"/><Relationship Id="rId14" Type="http://schemas.openxmlformats.org/officeDocument/2006/relationships/image" Target="../media/image120.emf"/><Relationship Id="rId22" Type="http://schemas.openxmlformats.org/officeDocument/2006/relationships/image" Target="../media/image128.emf"/></Relationships>
</file>

<file path=xl/drawings/_rels/vmlDrawing4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75.emf"/><Relationship Id="rId18" Type="http://schemas.openxmlformats.org/officeDocument/2006/relationships/image" Target="../media/image180.emf"/><Relationship Id="rId26" Type="http://schemas.openxmlformats.org/officeDocument/2006/relationships/image" Target="../media/image188.emf"/><Relationship Id="rId3" Type="http://schemas.openxmlformats.org/officeDocument/2006/relationships/image" Target="../media/image165.emf"/><Relationship Id="rId21" Type="http://schemas.openxmlformats.org/officeDocument/2006/relationships/image" Target="../media/image183.emf"/><Relationship Id="rId34" Type="http://schemas.openxmlformats.org/officeDocument/2006/relationships/image" Target="../media/image196.emf"/><Relationship Id="rId7" Type="http://schemas.openxmlformats.org/officeDocument/2006/relationships/image" Target="../media/image169.emf"/><Relationship Id="rId12" Type="http://schemas.openxmlformats.org/officeDocument/2006/relationships/image" Target="../media/image174.emf"/><Relationship Id="rId17" Type="http://schemas.openxmlformats.org/officeDocument/2006/relationships/image" Target="../media/image179.emf"/><Relationship Id="rId25" Type="http://schemas.openxmlformats.org/officeDocument/2006/relationships/image" Target="../media/image187.emf"/><Relationship Id="rId33" Type="http://schemas.openxmlformats.org/officeDocument/2006/relationships/image" Target="../media/image195.emf"/><Relationship Id="rId2" Type="http://schemas.openxmlformats.org/officeDocument/2006/relationships/image" Target="../media/image164.emf"/><Relationship Id="rId16" Type="http://schemas.openxmlformats.org/officeDocument/2006/relationships/image" Target="../media/image178.emf"/><Relationship Id="rId20" Type="http://schemas.openxmlformats.org/officeDocument/2006/relationships/image" Target="../media/image182.emf"/><Relationship Id="rId29" Type="http://schemas.openxmlformats.org/officeDocument/2006/relationships/image" Target="../media/image191.emf"/><Relationship Id="rId1" Type="http://schemas.openxmlformats.org/officeDocument/2006/relationships/image" Target="../media/image65.emf"/><Relationship Id="rId6" Type="http://schemas.openxmlformats.org/officeDocument/2006/relationships/image" Target="../media/image168.emf"/><Relationship Id="rId11" Type="http://schemas.openxmlformats.org/officeDocument/2006/relationships/image" Target="../media/image173.emf"/><Relationship Id="rId24" Type="http://schemas.openxmlformats.org/officeDocument/2006/relationships/image" Target="../media/image186.emf"/><Relationship Id="rId32" Type="http://schemas.openxmlformats.org/officeDocument/2006/relationships/image" Target="../media/image194.emf"/><Relationship Id="rId5" Type="http://schemas.openxmlformats.org/officeDocument/2006/relationships/image" Target="../media/image167.emf"/><Relationship Id="rId15" Type="http://schemas.openxmlformats.org/officeDocument/2006/relationships/image" Target="../media/image177.emf"/><Relationship Id="rId23" Type="http://schemas.openxmlformats.org/officeDocument/2006/relationships/image" Target="../media/image185.emf"/><Relationship Id="rId28" Type="http://schemas.openxmlformats.org/officeDocument/2006/relationships/image" Target="../media/image190.emf"/><Relationship Id="rId10" Type="http://schemas.openxmlformats.org/officeDocument/2006/relationships/image" Target="../media/image172.emf"/><Relationship Id="rId19" Type="http://schemas.openxmlformats.org/officeDocument/2006/relationships/image" Target="../media/image181.emf"/><Relationship Id="rId31" Type="http://schemas.openxmlformats.org/officeDocument/2006/relationships/image" Target="../media/image193.emf"/><Relationship Id="rId4" Type="http://schemas.openxmlformats.org/officeDocument/2006/relationships/image" Target="../media/image166.emf"/><Relationship Id="rId9" Type="http://schemas.openxmlformats.org/officeDocument/2006/relationships/image" Target="../media/image171.emf"/><Relationship Id="rId14" Type="http://schemas.openxmlformats.org/officeDocument/2006/relationships/image" Target="../media/image176.emf"/><Relationship Id="rId22" Type="http://schemas.openxmlformats.org/officeDocument/2006/relationships/image" Target="../media/image184.emf"/><Relationship Id="rId27" Type="http://schemas.openxmlformats.org/officeDocument/2006/relationships/image" Target="../media/image189.emf"/><Relationship Id="rId30" Type="http://schemas.openxmlformats.org/officeDocument/2006/relationships/image" Target="../media/image192.emf"/><Relationship Id="rId8" Type="http://schemas.openxmlformats.org/officeDocument/2006/relationships/image" Target="../media/image17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1712</xdr:row>
      <xdr:rowOff>0</xdr:rowOff>
    </xdr:from>
    <xdr:to>
      <xdr:col>1</xdr:col>
      <xdr:colOff>304800</xdr:colOff>
      <xdr:row>1716</xdr:row>
      <xdr:rowOff>37809</xdr:rowOff>
    </xdr:to>
    <xdr:sp macro="" textlink="">
      <xdr:nvSpPr>
        <xdr:cNvPr id="2" name="AutoShape 2" descr="New Corner Label PNG icons">
          <a:extLst>
            <a:ext uri="{FF2B5EF4-FFF2-40B4-BE49-F238E27FC236}">
              <a16:creationId xmlns:a16="http://schemas.microsoft.com/office/drawing/2014/main" id="{42089995-B80A-4423-BB70-9E7C46B5EAA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79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1712</xdr:row>
      <xdr:rowOff>0</xdr:rowOff>
    </xdr:from>
    <xdr:ext cx="304800" cy="298449"/>
    <xdr:sp macro="" textlink="">
      <xdr:nvSpPr>
        <xdr:cNvPr id="3" name="AutoShape 2" descr="New Corner Label PNG icons">
          <a:extLst>
            <a:ext uri="{FF2B5EF4-FFF2-40B4-BE49-F238E27FC236}">
              <a16:creationId xmlns:a16="http://schemas.microsoft.com/office/drawing/2014/main" id="{2D47A133-9F35-4ED3-84F0-F4F5EAAF235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822172"/>
    <xdr:sp macro="" textlink="">
      <xdr:nvSpPr>
        <xdr:cNvPr id="4" name="AutoShape 2" descr="New Corner Label PNG icons">
          <a:extLst>
            <a:ext uri="{FF2B5EF4-FFF2-40B4-BE49-F238E27FC236}">
              <a16:creationId xmlns:a16="http://schemas.microsoft.com/office/drawing/2014/main" id="{C9F62834-05CF-4817-A0EB-DD0AA66E50D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822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1023938</xdr:colOff>
      <xdr:row>1712</xdr:row>
      <xdr:rowOff>0</xdr:rowOff>
    </xdr:from>
    <xdr:ext cx="305556" cy="825347"/>
    <xdr:sp macro="" textlink="">
      <xdr:nvSpPr>
        <xdr:cNvPr id="5" name="AutoShape 3" descr="New Corner Label PNG icons">
          <a:extLst>
            <a:ext uri="{FF2B5EF4-FFF2-40B4-BE49-F238E27FC236}">
              <a16:creationId xmlns:a16="http://schemas.microsoft.com/office/drawing/2014/main" id="{D7789718-D84E-4E8F-A6BA-08ABCBC04377}"/>
            </a:ext>
          </a:extLst>
        </xdr:cNvPr>
        <xdr:cNvSpPr>
          <a:spLocks noChangeAspect="1" noChangeArrowheads="1"/>
        </xdr:cNvSpPr>
      </xdr:nvSpPr>
      <xdr:spPr bwMode="auto">
        <a:xfrm>
          <a:off x="1757363" y="342538050"/>
          <a:ext cx="305556" cy="825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8449"/>
    <xdr:sp macro="" textlink="">
      <xdr:nvSpPr>
        <xdr:cNvPr id="6" name="AutoShape 2" descr="New Corner Label PNG icons">
          <a:extLst>
            <a:ext uri="{FF2B5EF4-FFF2-40B4-BE49-F238E27FC236}">
              <a16:creationId xmlns:a16="http://schemas.microsoft.com/office/drawing/2014/main" id="{698CFC63-B74E-4C5D-8896-98925004B38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5274"/>
    <xdr:sp macro="" textlink="">
      <xdr:nvSpPr>
        <xdr:cNvPr id="7" name="AutoShape 3" descr="New Corner Label PNG icons">
          <a:extLst>
            <a:ext uri="{FF2B5EF4-FFF2-40B4-BE49-F238E27FC236}">
              <a16:creationId xmlns:a16="http://schemas.microsoft.com/office/drawing/2014/main" id="{40BBB362-40C5-4A6B-A9CB-78A38C7C863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1023938</xdr:colOff>
      <xdr:row>1712</xdr:row>
      <xdr:rowOff>0</xdr:rowOff>
    </xdr:from>
    <xdr:ext cx="304800" cy="295274"/>
    <xdr:sp macro="" textlink="">
      <xdr:nvSpPr>
        <xdr:cNvPr id="8" name="AutoShape 3" descr="New Corner Label PNG icons">
          <a:extLst>
            <a:ext uri="{FF2B5EF4-FFF2-40B4-BE49-F238E27FC236}">
              <a16:creationId xmlns:a16="http://schemas.microsoft.com/office/drawing/2014/main" id="{0EE9E07B-2AB6-43BF-A4C9-6E3395FE2DB2}"/>
            </a:ext>
          </a:extLst>
        </xdr:cNvPr>
        <xdr:cNvSpPr>
          <a:spLocks noChangeAspect="1" noChangeArrowheads="1"/>
        </xdr:cNvSpPr>
      </xdr:nvSpPr>
      <xdr:spPr bwMode="auto">
        <a:xfrm>
          <a:off x="1757363" y="342538050"/>
          <a:ext cx="304800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8449"/>
    <xdr:sp macro="" textlink="">
      <xdr:nvSpPr>
        <xdr:cNvPr id="9" name="AutoShape 2" descr="New Corner Label PNG icons">
          <a:extLst>
            <a:ext uri="{FF2B5EF4-FFF2-40B4-BE49-F238E27FC236}">
              <a16:creationId xmlns:a16="http://schemas.microsoft.com/office/drawing/2014/main" id="{2CA50F38-3FE7-4C43-93E9-DB378E08133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5274"/>
    <xdr:sp macro="" textlink="">
      <xdr:nvSpPr>
        <xdr:cNvPr id="10" name="AutoShape 3" descr="New Corner Label PNG icons">
          <a:extLst>
            <a:ext uri="{FF2B5EF4-FFF2-40B4-BE49-F238E27FC236}">
              <a16:creationId xmlns:a16="http://schemas.microsoft.com/office/drawing/2014/main" id="{333805EF-254A-450D-A905-64199A4B70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8449"/>
    <xdr:sp macro="" textlink="">
      <xdr:nvSpPr>
        <xdr:cNvPr id="11" name="AutoShape 2" descr="New Corner Label PNG icons">
          <a:extLst>
            <a:ext uri="{FF2B5EF4-FFF2-40B4-BE49-F238E27FC236}">
              <a16:creationId xmlns:a16="http://schemas.microsoft.com/office/drawing/2014/main" id="{A6C198C4-9204-4E26-87DB-2308F654F1E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5274"/>
    <xdr:sp macro="" textlink="">
      <xdr:nvSpPr>
        <xdr:cNvPr id="12" name="AutoShape 3" descr="New Corner Label PNG icons">
          <a:extLst>
            <a:ext uri="{FF2B5EF4-FFF2-40B4-BE49-F238E27FC236}">
              <a16:creationId xmlns:a16="http://schemas.microsoft.com/office/drawing/2014/main" id="{A77A3ADD-A93E-4375-9B38-041EBC368F8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8449"/>
    <xdr:sp macro="" textlink="">
      <xdr:nvSpPr>
        <xdr:cNvPr id="13" name="AutoShape 2" descr="New Corner Label PNG icons">
          <a:extLst>
            <a:ext uri="{FF2B5EF4-FFF2-40B4-BE49-F238E27FC236}">
              <a16:creationId xmlns:a16="http://schemas.microsoft.com/office/drawing/2014/main" id="{B109BC45-2D31-4996-BC5B-51C49019665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5274"/>
    <xdr:sp macro="" textlink="">
      <xdr:nvSpPr>
        <xdr:cNvPr id="14" name="AutoShape 3" descr="New Corner Label PNG icons">
          <a:extLst>
            <a:ext uri="{FF2B5EF4-FFF2-40B4-BE49-F238E27FC236}">
              <a16:creationId xmlns:a16="http://schemas.microsoft.com/office/drawing/2014/main" id="{1BD331AC-62F9-4A3F-BDCA-64E1F6D43D4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8449"/>
    <xdr:sp macro="" textlink="">
      <xdr:nvSpPr>
        <xdr:cNvPr id="15" name="AutoShape 2" descr="New Corner Label PNG icons">
          <a:extLst>
            <a:ext uri="{FF2B5EF4-FFF2-40B4-BE49-F238E27FC236}">
              <a16:creationId xmlns:a16="http://schemas.microsoft.com/office/drawing/2014/main" id="{75803C0F-783F-4F81-9A5D-E62A6AD142A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8449"/>
    <xdr:sp macro="" textlink="">
      <xdr:nvSpPr>
        <xdr:cNvPr id="16" name="AutoShape 2" descr="New Corner Label PNG icons">
          <a:extLst>
            <a:ext uri="{FF2B5EF4-FFF2-40B4-BE49-F238E27FC236}">
              <a16:creationId xmlns:a16="http://schemas.microsoft.com/office/drawing/2014/main" id="{9DFBC503-D325-4712-A95A-6EE9C10C97B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8449"/>
    <xdr:sp macro="" textlink="">
      <xdr:nvSpPr>
        <xdr:cNvPr id="17" name="AutoShape 2" descr="New Corner Label PNG icons">
          <a:extLst>
            <a:ext uri="{FF2B5EF4-FFF2-40B4-BE49-F238E27FC236}">
              <a16:creationId xmlns:a16="http://schemas.microsoft.com/office/drawing/2014/main" id="{47B7D491-689E-4C13-B772-8B6C21DCCE3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5274"/>
    <xdr:sp macro="" textlink="">
      <xdr:nvSpPr>
        <xdr:cNvPr id="18" name="AutoShape 3" descr="New Corner Label PNG icons">
          <a:extLst>
            <a:ext uri="{FF2B5EF4-FFF2-40B4-BE49-F238E27FC236}">
              <a16:creationId xmlns:a16="http://schemas.microsoft.com/office/drawing/2014/main" id="{87B78BB7-9851-4D73-A910-7B4302329BB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8449"/>
    <xdr:sp macro="" textlink="">
      <xdr:nvSpPr>
        <xdr:cNvPr id="19" name="AutoShape 2" descr="New Corner Label PNG icons">
          <a:extLst>
            <a:ext uri="{FF2B5EF4-FFF2-40B4-BE49-F238E27FC236}">
              <a16:creationId xmlns:a16="http://schemas.microsoft.com/office/drawing/2014/main" id="{11E02068-C415-43E3-AB1C-0E87BF23B27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5274"/>
    <xdr:sp macro="" textlink="">
      <xdr:nvSpPr>
        <xdr:cNvPr id="20" name="AutoShape 3" descr="New Corner Label PNG icons">
          <a:extLst>
            <a:ext uri="{FF2B5EF4-FFF2-40B4-BE49-F238E27FC236}">
              <a16:creationId xmlns:a16="http://schemas.microsoft.com/office/drawing/2014/main" id="{734D1ED7-3606-4A24-AB82-A738B1126E9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5274"/>
    <xdr:sp macro="" textlink="">
      <xdr:nvSpPr>
        <xdr:cNvPr id="21" name="AutoShape 3" descr="New Corner Label PNG icons">
          <a:extLst>
            <a:ext uri="{FF2B5EF4-FFF2-40B4-BE49-F238E27FC236}">
              <a16:creationId xmlns:a16="http://schemas.microsoft.com/office/drawing/2014/main" id="{4F5934DE-1345-420C-8E3F-4C9533CFEB0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8449"/>
    <xdr:sp macro="" textlink="">
      <xdr:nvSpPr>
        <xdr:cNvPr id="22" name="AutoShape 2" descr="New Corner Label PNG icons">
          <a:extLst>
            <a:ext uri="{FF2B5EF4-FFF2-40B4-BE49-F238E27FC236}">
              <a16:creationId xmlns:a16="http://schemas.microsoft.com/office/drawing/2014/main" id="{E4541AFB-5187-458F-A614-2F5C7CC94DB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5274"/>
    <xdr:sp macro="" textlink="">
      <xdr:nvSpPr>
        <xdr:cNvPr id="23" name="AutoShape 3" descr="New Corner Label PNG icons">
          <a:extLst>
            <a:ext uri="{FF2B5EF4-FFF2-40B4-BE49-F238E27FC236}">
              <a16:creationId xmlns:a16="http://schemas.microsoft.com/office/drawing/2014/main" id="{BC815A39-EA68-4145-8924-4B8F0703710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1712</xdr:row>
      <xdr:rowOff>0</xdr:rowOff>
    </xdr:from>
    <xdr:ext cx="304800" cy="295274"/>
    <xdr:sp macro="" textlink="">
      <xdr:nvSpPr>
        <xdr:cNvPr id="24" name="AutoShape 3" descr="New Corner Label PNG icons">
          <a:extLst>
            <a:ext uri="{FF2B5EF4-FFF2-40B4-BE49-F238E27FC236}">
              <a16:creationId xmlns:a16="http://schemas.microsoft.com/office/drawing/2014/main" id="{FD93DC6C-6FA5-4C7D-A363-1B45205DBC7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2538050"/>
          <a:ext cx="304800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4773706</xdr:colOff>
      <xdr:row>0</xdr:row>
      <xdr:rowOff>49867</xdr:rowOff>
    </xdr:from>
    <xdr:to>
      <xdr:col>4</xdr:col>
      <xdr:colOff>39781</xdr:colOff>
      <xdr:row>2</xdr:row>
      <xdr:rowOff>44263</xdr:rowOff>
    </xdr:to>
    <xdr:pic>
      <xdr:nvPicPr>
        <xdr:cNvPr id="25" name="Рисунок 24" descr="cid:image002.gif@01D6EF1F.D2D41F70">
          <a:extLst>
            <a:ext uri="{FF2B5EF4-FFF2-40B4-BE49-F238E27FC236}">
              <a16:creationId xmlns:a16="http://schemas.microsoft.com/office/drawing/2014/main" id="{B98B68B8-E80A-4DC5-9CFA-6D6B2D8E1D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5831" y="49867"/>
          <a:ext cx="1466850" cy="39444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5378824</xdr:colOff>
      <xdr:row>2</xdr:row>
      <xdr:rowOff>36421</xdr:rowOff>
    </xdr:from>
    <xdr:to>
      <xdr:col>3</xdr:col>
      <xdr:colOff>658348</xdr:colOff>
      <xdr:row>3</xdr:row>
      <xdr:rowOff>179296</xdr:rowOff>
    </xdr:to>
    <xdr:pic>
      <xdr:nvPicPr>
        <xdr:cNvPr id="26" name="Picture 5" descr="1111">
          <a:extLst>
            <a:ext uri="{FF2B5EF4-FFF2-40B4-BE49-F238E27FC236}">
              <a16:creationId xmlns:a16="http://schemas.microsoft.com/office/drawing/2014/main" id="{D2F3FA0D-9ADB-48DD-AF9E-7CFFB8860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0949" y="436471"/>
          <a:ext cx="765924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1131160</xdr:colOff>
      <xdr:row>4</xdr:row>
      <xdr:rowOff>37443</xdr:rowOff>
    </xdr:from>
    <xdr:to>
      <xdr:col>3</xdr:col>
      <xdr:colOff>1925652</xdr:colOff>
      <xdr:row>4</xdr:row>
      <xdr:rowOff>985345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42522" y="3302219"/>
          <a:ext cx="794492" cy="947902"/>
        </a:xfrm>
        <a:prstGeom prst="rect">
          <a:avLst/>
        </a:prstGeom>
      </xdr:spPr>
    </xdr:pic>
    <xdr:clientData/>
  </xdr:twoCellAnchor>
  <xdr:twoCellAnchor editAs="oneCell">
    <xdr:from>
      <xdr:col>3</xdr:col>
      <xdr:colOff>1132310</xdr:colOff>
      <xdr:row>5</xdr:row>
      <xdr:rowOff>24848</xdr:rowOff>
    </xdr:from>
    <xdr:to>
      <xdr:col>3</xdr:col>
      <xdr:colOff>1857572</xdr:colOff>
      <xdr:row>5</xdr:row>
      <xdr:rowOff>987749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48527" y="4298674"/>
          <a:ext cx="725262" cy="962901"/>
        </a:xfrm>
        <a:prstGeom prst="rect">
          <a:avLst/>
        </a:prstGeom>
      </xdr:spPr>
    </xdr:pic>
    <xdr:clientData/>
  </xdr:twoCellAnchor>
  <xdr:twoCellAnchor editAs="oneCell">
    <xdr:from>
      <xdr:col>3</xdr:col>
      <xdr:colOff>1171496</xdr:colOff>
      <xdr:row>6</xdr:row>
      <xdr:rowOff>131884</xdr:rowOff>
    </xdr:from>
    <xdr:to>
      <xdr:col>3</xdr:col>
      <xdr:colOff>1765098</xdr:colOff>
      <xdr:row>6</xdr:row>
      <xdr:rowOff>893884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825"/>
        <a:stretch/>
      </xdr:blipFill>
      <xdr:spPr>
        <a:xfrm flipH="1">
          <a:off x="6681342" y="5414596"/>
          <a:ext cx="593602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1068916</xdr:colOff>
      <xdr:row>7</xdr:row>
      <xdr:rowOff>35295</xdr:rowOff>
    </xdr:from>
    <xdr:to>
      <xdr:col>3</xdr:col>
      <xdr:colOff>1936749</xdr:colOff>
      <xdr:row>7</xdr:row>
      <xdr:rowOff>995647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7105"/>
        <a:stretch/>
      </xdr:blipFill>
      <xdr:spPr>
        <a:xfrm>
          <a:off x="6582833" y="5538628"/>
          <a:ext cx="867833" cy="960352"/>
        </a:xfrm>
        <a:prstGeom prst="rect">
          <a:avLst/>
        </a:prstGeom>
      </xdr:spPr>
    </xdr:pic>
    <xdr:clientData/>
  </xdr:twoCellAnchor>
  <xdr:twoCellAnchor editAs="oneCell">
    <xdr:from>
      <xdr:col>3</xdr:col>
      <xdr:colOff>955275</xdr:colOff>
      <xdr:row>8</xdr:row>
      <xdr:rowOff>13608</xdr:rowOff>
    </xdr:from>
    <xdr:to>
      <xdr:col>3</xdr:col>
      <xdr:colOff>1952087</xdr:colOff>
      <xdr:row>9</xdr:row>
      <xdr:rowOff>1</xdr:rowOff>
    </xdr:to>
    <xdr:pic>
      <xdr:nvPicPr>
        <xdr:cNvPr id="10" name="Picture 1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69192" y="6522358"/>
          <a:ext cx="996812" cy="991810"/>
        </a:xfrm>
        <a:prstGeom prst="rect">
          <a:avLst/>
        </a:prstGeom>
      </xdr:spPr>
    </xdr:pic>
    <xdr:clientData/>
  </xdr:twoCellAnchor>
  <xdr:twoCellAnchor editAs="oneCell">
    <xdr:from>
      <xdr:col>3</xdr:col>
      <xdr:colOff>1306286</xdr:colOff>
      <xdr:row>9</xdr:row>
      <xdr:rowOff>394607</xdr:rowOff>
    </xdr:from>
    <xdr:to>
      <xdr:col>3</xdr:col>
      <xdr:colOff>1479925</xdr:colOff>
      <xdr:row>9</xdr:row>
      <xdr:rowOff>668278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clrChange>
            <a:clrFrom>
              <a:srgbClr val="FFFEFE"/>
            </a:clrFrom>
            <a:clrTo>
              <a:srgbClr val="FF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30786" y="8681357"/>
          <a:ext cx="173639" cy="273671"/>
        </a:xfrm>
        <a:prstGeom prst="rect">
          <a:avLst/>
        </a:prstGeom>
      </xdr:spPr>
    </xdr:pic>
    <xdr:clientData/>
  </xdr:twoCellAnchor>
  <xdr:twoCellAnchor editAs="oneCell">
    <xdr:from>
      <xdr:col>3</xdr:col>
      <xdr:colOff>1306286</xdr:colOff>
      <xdr:row>10</xdr:row>
      <xdr:rowOff>421822</xdr:rowOff>
    </xdr:from>
    <xdr:to>
      <xdr:col>3</xdr:col>
      <xdr:colOff>1479925</xdr:colOff>
      <xdr:row>10</xdr:row>
      <xdr:rowOff>695493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clrChange>
            <a:clrFrom>
              <a:srgbClr val="FFFEFE"/>
            </a:clrFrom>
            <a:clrTo>
              <a:srgbClr val="FF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30786" y="9715501"/>
          <a:ext cx="173639" cy="273671"/>
        </a:xfrm>
        <a:prstGeom prst="rect">
          <a:avLst/>
        </a:prstGeom>
      </xdr:spPr>
    </xdr:pic>
    <xdr:clientData/>
  </xdr:twoCellAnchor>
  <xdr:twoCellAnchor editAs="oneCell">
    <xdr:from>
      <xdr:col>3</xdr:col>
      <xdr:colOff>1319892</xdr:colOff>
      <xdr:row>11</xdr:row>
      <xdr:rowOff>394607</xdr:rowOff>
    </xdr:from>
    <xdr:to>
      <xdr:col>3</xdr:col>
      <xdr:colOff>1493531</xdr:colOff>
      <xdr:row>11</xdr:row>
      <xdr:rowOff>668278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clrChange>
            <a:clrFrom>
              <a:srgbClr val="FFFEFE"/>
            </a:clrFrom>
            <a:clrTo>
              <a:srgbClr val="FF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44392" y="10695214"/>
          <a:ext cx="173639" cy="273671"/>
        </a:xfrm>
        <a:prstGeom prst="rect">
          <a:avLst/>
        </a:prstGeom>
      </xdr:spPr>
    </xdr:pic>
    <xdr:clientData/>
  </xdr:twoCellAnchor>
  <xdr:twoCellAnchor editAs="oneCell">
    <xdr:from>
      <xdr:col>3</xdr:col>
      <xdr:colOff>1115786</xdr:colOff>
      <xdr:row>12</xdr:row>
      <xdr:rowOff>263758</xdr:rowOff>
    </xdr:from>
    <xdr:to>
      <xdr:col>3</xdr:col>
      <xdr:colOff>1753700</xdr:colOff>
      <xdr:row>12</xdr:row>
      <xdr:rowOff>734785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640286" y="11571294"/>
          <a:ext cx="637914" cy="471027"/>
        </a:xfrm>
        <a:prstGeom prst="rect">
          <a:avLst/>
        </a:prstGeom>
      </xdr:spPr>
    </xdr:pic>
    <xdr:clientData/>
  </xdr:twoCellAnchor>
  <xdr:twoCellAnchor editAs="oneCell">
    <xdr:from>
      <xdr:col>3</xdr:col>
      <xdr:colOff>95251</xdr:colOff>
      <xdr:row>26</xdr:row>
      <xdr:rowOff>40822</xdr:rowOff>
    </xdr:from>
    <xdr:to>
      <xdr:col>3</xdr:col>
      <xdr:colOff>3495166</xdr:colOff>
      <xdr:row>27</xdr:row>
      <xdr:rowOff>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09168" y="48872322"/>
          <a:ext cx="3399915" cy="1483178"/>
        </a:xfrm>
        <a:prstGeom prst="rect">
          <a:avLst/>
        </a:prstGeom>
      </xdr:spPr>
    </xdr:pic>
    <xdr:clientData/>
  </xdr:twoCellAnchor>
  <xdr:twoCellAnchor editAs="oneCell">
    <xdr:from>
      <xdr:col>3</xdr:col>
      <xdr:colOff>27214</xdr:colOff>
      <xdr:row>27</xdr:row>
      <xdr:rowOff>13608</xdr:rowOff>
    </xdr:from>
    <xdr:to>
      <xdr:col>3</xdr:col>
      <xdr:colOff>3439583</xdr:colOff>
      <xdr:row>27</xdr:row>
      <xdr:rowOff>1497972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41131" y="50369108"/>
          <a:ext cx="3412369" cy="1484364"/>
        </a:xfrm>
        <a:prstGeom prst="rect">
          <a:avLst/>
        </a:prstGeom>
      </xdr:spPr>
    </xdr:pic>
    <xdr:clientData/>
  </xdr:twoCellAnchor>
  <xdr:twoCellAnchor editAs="oneCell">
    <xdr:from>
      <xdr:col>3</xdr:col>
      <xdr:colOff>27214</xdr:colOff>
      <xdr:row>28</xdr:row>
      <xdr:rowOff>40822</xdr:rowOff>
    </xdr:from>
    <xdr:to>
      <xdr:col>3</xdr:col>
      <xdr:colOff>3450166</xdr:colOff>
      <xdr:row>28</xdr:row>
      <xdr:rowOff>1509713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41131" y="51920322"/>
          <a:ext cx="3422952" cy="1468891"/>
        </a:xfrm>
        <a:prstGeom prst="rect">
          <a:avLst/>
        </a:prstGeom>
      </xdr:spPr>
    </xdr:pic>
    <xdr:clientData/>
  </xdr:twoCellAnchor>
  <xdr:twoCellAnchor editAs="oneCell">
    <xdr:from>
      <xdr:col>3</xdr:col>
      <xdr:colOff>27216</xdr:colOff>
      <xdr:row>29</xdr:row>
      <xdr:rowOff>27214</xdr:rowOff>
    </xdr:from>
    <xdr:to>
      <xdr:col>3</xdr:col>
      <xdr:colOff>3471333</xdr:colOff>
      <xdr:row>29</xdr:row>
      <xdr:rowOff>1514647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41133" y="53430714"/>
          <a:ext cx="3444117" cy="1487433"/>
        </a:xfrm>
        <a:prstGeom prst="rect">
          <a:avLst/>
        </a:prstGeom>
      </xdr:spPr>
    </xdr:pic>
    <xdr:clientData/>
  </xdr:twoCellAnchor>
  <xdr:twoCellAnchor editAs="oneCell">
    <xdr:from>
      <xdr:col>3</xdr:col>
      <xdr:colOff>13607</xdr:colOff>
      <xdr:row>30</xdr:row>
      <xdr:rowOff>23281</xdr:rowOff>
    </xdr:from>
    <xdr:to>
      <xdr:col>3</xdr:col>
      <xdr:colOff>2751666</xdr:colOff>
      <xdr:row>30</xdr:row>
      <xdr:rowOff>1507771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27524" y="54950781"/>
          <a:ext cx="2738059" cy="1484490"/>
        </a:xfrm>
        <a:prstGeom prst="rect">
          <a:avLst/>
        </a:prstGeom>
      </xdr:spPr>
    </xdr:pic>
    <xdr:clientData/>
  </xdr:twoCellAnchor>
  <xdr:twoCellAnchor editAs="oneCell">
    <xdr:from>
      <xdr:col>3</xdr:col>
      <xdr:colOff>40823</xdr:colOff>
      <xdr:row>31</xdr:row>
      <xdr:rowOff>13608</xdr:rowOff>
    </xdr:from>
    <xdr:to>
      <xdr:col>3</xdr:col>
      <xdr:colOff>2794001</xdr:colOff>
      <xdr:row>31</xdr:row>
      <xdr:rowOff>1506295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4740" y="56465108"/>
          <a:ext cx="2753178" cy="1492687"/>
        </a:xfrm>
        <a:prstGeom prst="rect">
          <a:avLst/>
        </a:prstGeom>
      </xdr:spPr>
    </xdr:pic>
    <xdr:clientData/>
  </xdr:twoCellAnchor>
  <xdr:twoCellAnchor editAs="oneCell">
    <xdr:from>
      <xdr:col>3</xdr:col>
      <xdr:colOff>40822</xdr:colOff>
      <xdr:row>32</xdr:row>
      <xdr:rowOff>13607</xdr:rowOff>
    </xdr:from>
    <xdr:to>
      <xdr:col>3</xdr:col>
      <xdr:colOff>2402416</xdr:colOff>
      <xdr:row>32</xdr:row>
      <xdr:rowOff>1511900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4739" y="57989107"/>
          <a:ext cx="2361594" cy="1498293"/>
        </a:xfrm>
        <a:prstGeom prst="rect">
          <a:avLst/>
        </a:prstGeom>
      </xdr:spPr>
    </xdr:pic>
    <xdr:clientData/>
  </xdr:twoCellAnchor>
  <xdr:twoCellAnchor editAs="oneCell">
    <xdr:from>
      <xdr:col>3</xdr:col>
      <xdr:colOff>54430</xdr:colOff>
      <xdr:row>33</xdr:row>
      <xdr:rowOff>13609</xdr:rowOff>
    </xdr:from>
    <xdr:to>
      <xdr:col>3</xdr:col>
      <xdr:colOff>2201333</xdr:colOff>
      <xdr:row>33</xdr:row>
      <xdr:rowOff>1495133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8347" y="59513109"/>
          <a:ext cx="2146903" cy="1481524"/>
        </a:xfrm>
        <a:prstGeom prst="rect">
          <a:avLst/>
        </a:prstGeom>
      </xdr:spPr>
    </xdr:pic>
    <xdr:clientData/>
  </xdr:twoCellAnchor>
  <xdr:twoCellAnchor editAs="oneCell">
    <xdr:from>
      <xdr:col>3</xdr:col>
      <xdr:colOff>54430</xdr:colOff>
      <xdr:row>34</xdr:row>
      <xdr:rowOff>13607</xdr:rowOff>
    </xdr:from>
    <xdr:to>
      <xdr:col>3</xdr:col>
      <xdr:colOff>2042584</xdr:colOff>
      <xdr:row>34</xdr:row>
      <xdr:rowOff>1506500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8347" y="61037107"/>
          <a:ext cx="1988154" cy="1492893"/>
        </a:xfrm>
        <a:prstGeom prst="rect">
          <a:avLst/>
        </a:prstGeom>
      </xdr:spPr>
    </xdr:pic>
    <xdr:clientData/>
  </xdr:twoCellAnchor>
  <xdr:twoCellAnchor editAs="oneCell">
    <xdr:from>
      <xdr:col>3</xdr:col>
      <xdr:colOff>54429</xdr:colOff>
      <xdr:row>35</xdr:row>
      <xdr:rowOff>13608</xdr:rowOff>
    </xdr:from>
    <xdr:to>
      <xdr:col>3</xdr:col>
      <xdr:colOff>2021416</xdr:colOff>
      <xdr:row>35</xdr:row>
      <xdr:rowOff>1495698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8346" y="62561108"/>
          <a:ext cx="1966987" cy="1482090"/>
        </a:xfrm>
        <a:prstGeom prst="rect">
          <a:avLst/>
        </a:prstGeom>
      </xdr:spPr>
    </xdr:pic>
    <xdr:clientData/>
  </xdr:twoCellAnchor>
  <xdr:twoCellAnchor editAs="oneCell">
    <xdr:from>
      <xdr:col>3</xdr:col>
      <xdr:colOff>54429</xdr:colOff>
      <xdr:row>36</xdr:row>
      <xdr:rowOff>13608</xdr:rowOff>
    </xdr:from>
    <xdr:to>
      <xdr:col>3</xdr:col>
      <xdr:colOff>2021416</xdr:colOff>
      <xdr:row>36</xdr:row>
      <xdr:rowOff>1490606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8346" y="64085108"/>
          <a:ext cx="1966987" cy="1476998"/>
        </a:xfrm>
        <a:prstGeom prst="rect">
          <a:avLst/>
        </a:prstGeom>
      </xdr:spPr>
    </xdr:pic>
    <xdr:clientData/>
  </xdr:twoCellAnchor>
  <xdr:twoCellAnchor editAs="oneCell">
    <xdr:from>
      <xdr:col>3</xdr:col>
      <xdr:colOff>27215</xdr:colOff>
      <xdr:row>37</xdr:row>
      <xdr:rowOff>13607</xdr:rowOff>
    </xdr:from>
    <xdr:to>
      <xdr:col>3</xdr:col>
      <xdr:colOff>1376770</xdr:colOff>
      <xdr:row>37</xdr:row>
      <xdr:rowOff>1492250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41132" y="65609107"/>
          <a:ext cx="1349555" cy="1478643"/>
        </a:xfrm>
        <a:prstGeom prst="rect">
          <a:avLst/>
        </a:prstGeom>
      </xdr:spPr>
    </xdr:pic>
    <xdr:clientData/>
  </xdr:twoCellAnchor>
  <xdr:twoCellAnchor editAs="oneCell">
    <xdr:from>
      <xdr:col>3</xdr:col>
      <xdr:colOff>40822</xdr:colOff>
      <xdr:row>38</xdr:row>
      <xdr:rowOff>27216</xdr:rowOff>
    </xdr:from>
    <xdr:to>
      <xdr:col>3</xdr:col>
      <xdr:colOff>1185333</xdr:colOff>
      <xdr:row>38</xdr:row>
      <xdr:rowOff>1489776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4739" y="67146716"/>
          <a:ext cx="1144511" cy="1462560"/>
        </a:xfrm>
        <a:prstGeom prst="rect">
          <a:avLst/>
        </a:prstGeom>
      </xdr:spPr>
    </xdr:pic>
    <xdr:clientData/>
  </xdr:twoCellAnchor>
  <xdr:twoCellAnchor editAs="oneCell">
    <xdr:from>
      <xdr:col>3</xdr:col>
      <xdr:colOff>258536</xdr:colOff>
      <xdr:row>18</xdr:row>
      <xdr:rowOff>95250</xdr:rowOff>
    </xdr:from>
    <xdr:to>
      <xdr:col>3</xdr:col>
      <xdr:colOff>2861754</xdr:colOff>
      <xdr:row>18</xdr:row>
      <xdr:rowOff>990600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83036" y="15865929"/>
          <a:ext cx="2603218" cy="89535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381001</xdr:colOff>
      <xdr:row>19</xdr:row>
      <xdr:rowOff>0</xdr:rowOff>
    </xdr:from>
    <xdr:to>
      <xdr:col>3</xdr:col>
      <xdr:colOff>2348433</xdr:colOff>
      <xdr:row>19</xdr:row>
      <xdr:rowOff>942975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05501" y="16777607"/>
          <a:ext cx="1967432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1041346</xdr:colOff>
      <xdr:row>20</xdr:row>
      <xdr:rowOff>40822</xdr:rowOff>
    </xdr:from>
    <xdr:to>
      <xdr:col>3</xdr:col>
      <xdr:colOff>1835838</xdr:colOff>
      <xdr:row>20</xdr:row>
      <xdr:rowOff>988724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54640" y="17858175"/>
          <a:ext cx="794492" cy="947902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1047750</xdr:colOff>
      <xdr:row>21</xdr:row>
      <xdr:rowOff>13607</xdr:rowOff>
    </xdr:from>
    <xdr:to>
      <xdr:col>3</xdr:col>
      <xdr:colOff>1773012</xdr:colOff>
      <xdr:row>21</xdr:row>
      <xdr:rowOff>976508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72250" y="18805071"/>
          <a:ext cx="725262" cy="962901"/>
        </a:xfrm>
        <a:prstGeom prst="rect">
          <a:avLst/>
        </a:prstGeom>
      </xdr:spPr>
    </xdr:pic>
    <xdr:clientData/>
  </xdr:twoCellAnchor>
  <xdr:twoCellAnchor editAs="oneCell">
    <xdr:from>
      <xdr:col>3</xdr:col>
      <xdr:colOff>1115786</xdr:colOff>
      <xdr:row>22</xdr:row>
      <xdr:rowOff>122464</xdr:rowOff>
    </xdr:from>
    <xdr:to>
      <xdr:col>3</xdr:col>
      <xdr:colOff>1709388</xdr:colOff>
      <xdr:row>22</xdr:row>
      <xdr:rowOff>884464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825"/>
        <a:stretch/>
      </xdr:blipFill>
      <xdr:spPr>
        <a:xfrm flipH="1">
          <a:off x="6640286" y="19920857"/>
          <a:ext cx="593602" cy="762000"/>
        </a:xfrm>
        <a:prstGeom prst="rect">
          <a:avLst/>
        </a:prstGeom>
      </xdr:spPr>
    </xdr:pic>
    <xdr:clientData/>
  </xdr:twoCellAnchor>
  <xdr:oneCellAnchor>
    <xdr:from>
      <xdr:col>3</xdr:col>
      <xdr:colOff>1060679</xdr:colOff>
      <xdr:row>23</xdr:row>
      <xdr:rowOff>14128</xdr:rowOff>
    </xdr:from>
    <xdr:ext cx="751975" cy="960352"/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85179" y="5525021"/>
          <a:ext cx="751975" cy="960352"/>
        </a:xfrm>
        <a:prstGeom prst="rect">
          <a:avLst/>
        </a:prstGeom>
      </xdr:spPr>
    </xdr:pic>
    <xdr:clientData/>
  </xdr:oneCellAnchor>
  <xdr:oneCellAnchor>
    <xdr:from>
      <xdr:col>3</xdr:col>
      <xdr:colOff>955275</xdr:colOff>
      <xdr:row>24</xdr:row>
      <xdr:rowOff>13608</xdr:rowOff>
    </xdr:from>
    <xdr:ext cx="996812" cy="993322"/>
    <xdr:pic>
      <xdr:nvPicPr>
        <xdr:cNvPr id="45" name="Picture 12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79775" y="6531429"/>
          <a:ext cx="996812" cy="993322"/>
        </a:xfrm>
        <a:prstGeom prst="rect">
          <a:avLst/>
        </a:prstGeom>
      </xdr:spPr>
    </xdr:pic>
    <xdr:clientData/>
  </xdr:oneCellAnchor>
  <xdr:twoCellAnchor editAs="oneCell">
    <xdr:from>
      <xdr:col>3</xdr:col>
      <xdr:colOff>7327</xdr:colOff>
      <xdr:row>2</xdr:row>
      <xdr:rowOff>21980</xdr:rowOff>
    </xdr:from>
    <xdr:to>
      <xdr:col>3</xdr:col>
      <xdr:colOff>2886808</xdr:colOff>
      <xdr:row>3</xdr:row>
      <xdr:rowOff>2161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7173" y="498230"/>
          <a:ext cx="2879481" cy="991296"/>
        </a:xfrm>
        <a:prstGeom prst="rect">
          <a:avLst/>
        </a:prstGeom>
      </xdr:spPr>
    </xdr:pic>
    <xdr:clientData/>
  </xdr:twoCellAnchor>
  <xdr:twoCellAnchor editAs="oneCell">
    <xdr:from>
      <xdr:col>3</xdr:col>
      <xdr:colOff>409474</xdr:colOff>
      <xdr:row>3</xdr:row>
      <xdr:rowOff>29308</xdr:rowOff>
    </xdr:from>
    <xdr:to>
      <xdr:col>3</xdr:col>
      <xdr:colOff>2394858</xdr:colOff>
      <xdr:row>3</xdr:row>
      <xdr:rowOff>959054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33974" y="1512487"/>
          <a:ext cx="1985384" cy="929746"/>
        </a:xfrm>
        <a:prstGeom prst="rect">
          <a:avLst/>
        </a:prstGeom>
      </xdr:spPr>
    </xdr:pic>
    <xdr:clientData/>
  </xdr:twoCellAnchor>
  <xdr:twoCellAnchor editAs="oneCell">
    <xdr:from>
      <xdr:col>3</xdr:col>
      <xdr:colOff>661147</xdr:colOff>
      <xdr:row>40</xdr:row>
      <xdr:rowOff>549088</xdr:rowOff>
    </xdr:from>
    <xdr:to>
      <xdr:col>3</xdr:col>
      <xdr:colOff>795618</xdr:colOff>
      <xdr:row>40</xdr:row>
      <xdr:rowOff>694765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4221" t="48585" r="45753" b="37106"/>
        <a:stretch/>
      </xdr:blipFill>
      <xdr:spPr>
        <a:xfrm>
          <a:off x="6174441" y="70843588"/>
          <a:ext cx="134471" cy="145677"/>
        </a:xfrm>
        <a:prstGeom prst="rect">
          <a:avLst/>
        </a:prstGeom>
        <a:noFill/>
      </xdr:spPr>
    </xdr:pic>
    <xdr:clientData/>
  </xdr:twoCellAnchor>
  <xdr:oneCellAnchor>
    <xdr:from>
      <xdr:col>3</xdr:col>
      <xdr:colOff>40822</xdr:colOff>
      <xdr:row>39</xdr:row>
      <xdr:rowOff>27216</xdr:rowOff>
    </xdr:from>
    <xdr:ext cx="1144511" cy="1462560"/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4739" y="67146716"/>
          <a:ext cx="1144511" cy="1462560"/>
        </a:xfrm>
        <a:prstGeom prst="rect">
          <a:avLst/>
        </a:prstGeom>
      </xdr:spPr>
    </xdr:pic>
    <xdr:clientData/>
  </xdr:oneCellAnchor>
  <xdr:twoCellAnchor editAs="oneCell">
    <xdr:from>
      <xdr:col>3</xdr:col>
      <xdr:colOff>410327</xdr:colOff>
      <xdr:row>15</xdr:row>
      <xdr:rowOff>67235</xdr:rowOff>
    </xdr:from>
    <xdr:to>
      <xdr:col>3</xdr:col>
      <xdr:colOff>1089595</xdr:colOff>
      <xdr:row>15</xdr:row>
      <xdr:rowOff>930088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23621" y="13659970"/>
          <a:ext cx="679268" cy="8628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36468</xdr:colOff>
          <xdr:row>3</xdr:row>
          <xdr:rowOff>96480</xdr:rowOff>
        </xdr:from>
        <xdr:to>
          <xdr:col>4</xdr:col>
          <xdr:colOff>493982</xdr:colOff>
          <xdr:row>3</xdr:row>
          <xdr:rowOff>474757</xdr:rowOff>
        </xdr:to>
        <xdr:pic>
          <xdr:nvPicPr>
            <xdr:cNvPr id="5" name="Термостат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Фото2" spid="_x0000_s5107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20521" t="1892" r="56278" b="4582"/>
            <a:stretch>
              <a:fillRect/>
            </a:stretch>
          </xdr:blipFill>
          <xdr:spPr>
            <a:xfrm>
              <a:off x="5433968" y="1123063"/>
              <a:ext cx="457514" cy="378277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 editAs="oneCell">
    <xdr:from>
      <xdr:col>4</xdr:col>
      <xdr:colOff>492820</xdr:colOff>
      <xdr:row>2</xdr:row>
      <xdr:rowOff>228601</xdr:rowOff>
    </xdr:from>
    <xdr:to>
      <xdr:col>4</xdr:col>
      <xdr:colOff>672914</xdr:colOff>
      <xdr:row>2</xdr:row>
      <xdr:rowOff>347941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19" t="14726" r="6788" b="11646"/>
        <a:stretch/>
      </xdr:blipFill>
      <xdr:spPr bwMode="auto">
        <a:xfrm>
          <a:off x="5817295" y="228601"/>
          <a:ext cx="180094" cy="119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1474293</xdr:colOff>
      <xdr:row>5</xdr:row>
      <xdr:rowOff>39782</xdr:rowOff>
    </xdr:from>
    <xdr:to>
      <xdr:col>4</xdr:col>
      <xdr:colOff>571500</xdr:colOff>
      <xdr:row>5</xdr:row>
      <xdr:rowOff>409575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764" t="9835" r="14118" b="11475"/>
        <a:stretch/>
      </xdr:blipFill>
      <xdr:spPr>
        <a:xfrm>
          <a:off x="5350968" y="1811432"/>
          <a:ext cx="611682" cy="369793"/>
        </a:xfrm>
        <a:prstGeom prst="rect">
          <a:avLst/>
        </a:prstGeom>
      </xdr:spPr>
    </xdr:pic>
    <xdr:clientData/>
  </xdr:twoCellAnchor>
  <xdr:twoCellAnchor editAs="oneCell">
    <xdr:from>
      <xdr:col>4</xdr:col>
      <xdr:colOff>91108</xdr:colOff>
      <xdr:row>4</xdr:row>
      <xdr:rowOff>82826</xdr:rowOff>
    </xdr:from>
    <xdr:to>
      <xdr:col>4</xdr:col>
      <xdr:colOff>498441</xdr:colOff>
      <xdr:row>4</xdr:row>
      <xdr:rowOff>403461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335" t="9421" r="5763" b="7721"/>
        <a:stretch/>
      </xdr:blipFill>
      <xdr:spPr>
        <a:xfrm>
          <a:off x="5416825" y="1474304"/>
          <a:ext cx="407333" cy="320635"/>
        </a:xfrm>
        <a:prstGeom prst="rect">
          <a:avLst/>
        </a:prstGeom>
      </xdr:spPr>
    </xdr:pic>
    <xdr:clientData/>
  </xdr:twoCellAnchor>
  <xdr:twoCellAnchor editAs="oneCell">
    <xdr:from>
      <xdr:col>4</xdr:col>
      <xdr:colOff>1000126</xdr:colOff>
      <xdr:row>0</xdr:row>
      <xdr:rowOff>0</xdr:rowOff>
    </xdr:from>
    <xdr:to>
      <xdr:col>6</xdr:col>
      <xdr:colOff>85727</xdr:colOff>
      <xdr:row>2</xdr:row>
      <xdr:rowOff>32274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1" y="0"/>
          <a:ext cx="1981200" cy="546624"/>
        </a:xfrm>
        <a:prstGeom prst="rect">
          <a:avLst/>
        </a:prstGeom>
      </xdr:spPr>
    </xdr:pic>
    <xdr:clientData/>
  </xdr:twoCellAnchor>
  <xdr:twoCellAnchor>
    <xdr:from>
      <xdr:col>1</xdr:col>
      <xdr:colOff>1438275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Округлений прямокутни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419350" y="514350"/>
          <a:ext cx="1457325" cy="419100"/>
        </a:xfrm>
        <a:prstGeom prst="roundRect">
          <a:avLst/>
        </a:prstGeom>
        <a:noFill/>
        <a:ln>
          <a:solidFill>
            <a:srgbClr val="FFA300"/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  <xdr:twoCellAnchor>
    <xdr:from>
      <xdr:col>1</xdr:col>
      <xdr:colOff>1445557</xdr:colOff>
      <xdr:row>3</xdr:row>
      <xdr:rowOff>0</xdr:rowOff>
    </xdr:from>
    <xdr:to>
      <xdr:col>3</xdr:col>
      <xdr:colOff>145677</xdr:colOff>
      <xdr:row>4</xdr:row>
      <xdr:rowOff>0</xdr:rowOff>
    </xdr:to>
    <xdr:sp macro="" textlink="">
      <xdr:nvSpPr>
        <xdr:cNvPr id="10" name="Округлений прямокутник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432693" y="917864"/>
          <a:ext cx="1609575" cy="415636"/>
        </a:xfrm>
        <a:prstGeom prst="roundRect">
          <a:avLst/>
        </a:prstGeom>
        <a:noFill/>
        <a:ln>
          <a:solidFill>
            <a:srgbClr val="FFA300"/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784175</xdr:colOff>
          <xdr:row>12</xdr:row>
          <xdr:rowOff>153865</xdr:rowOff>
        </xdr:from>
        <xdr:to>
          <xdr:col>7</xdr:col>
          <xdr:colOff>353784</xdr:colOff>
          <xdr:row>14</xdr:row>
          <xdr:rowOff>6802</xdr:rowOff>
        </xdr:to>
        <xdr:pic>
          <xdr:nvPicPr>
            <xdr:cNvPr id="18" name="Рисунок 17">
              <a:extLst>
                <a:ext uri="{FF2B5EF4-FFF2-40B4-BE49-F238E27FC236}">
                  <a16:creationId xmlns:a16="http://schemas.microsoft.com/office/drawing/2014/main" id="{00000000-0008-0000-0300-00001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1" spid="_x0000_s129496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9525" t="1542" r="46025" b="6530"/>
            <a:stretch>
              <a:fillRect/>
            </a:stretch>
          </xdr:blipFill>
          <xdr:spPr>
            <a:xfrm>
              <a:off x="4371925" y="2884365"/>
              <a:ext cx="2093735" cy="1066242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114957</xdr:colOff>
          <xdr:row>12</xdr:row>
          <xdr:rowOff>95251</xdr:rowOff>
        </xdr:from>
        <xdr:to>
          <xdr:col>5</xdr:col>
          <xdr:colOff>361950</xdr:colOff>
          <xdr:row>13</xdr:row>
          <xdr:rowOff>993320</xdr:rowOff>
        </xdr:to>
        <xdr:pic>
          <xdr:nvPicPr>
            <xdr:cNvPr id="17" name="Рисунок 16">
              <a:extLst>
                <a:ext uri="{FF2B5EF4-FFF2-40B4-BE49-F238E27FC236}">
                  <a16:creationId xmlns:a16="http://schemas.microsoft.com/office/drawing/2014/main" id="{00000000-0008-0000-0300-00001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1" spid="_x0000_s129497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327" t="1335" r="39387" b="2367"/>
            <a:stretch>
              <a:fillRect/>
            </a:stretch>
          </xdr:blipFill>
          <xdr:spPr>
            <a:xfrm>
              <a:off x="1334157" y="3238501"/>
              <a:ext cx="3675993" cy="1107619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276411</xdr:colOff>
          <xdr:row>24</xdr:row>
          <xdr:rowOff>38287</xdr:rowOff>
        </xdr:from>
        <xdr:to>
          <xdr:col>5</xdr:col>
          <xdr:colOff>399678</xdr:colOff>
          <xdr:row>25</xdr:row>
          <xdr:rowOff>15875</xdr:rowOff>
        </xdr:to>
        <xdr:pic>
          <xdr:nvPicPr>
            <xdr:cNvPr id="2" name="Рисунок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Підлоги1" spid="_x0000_s129498"/>
                </a:ext>
              </a:extLst>
            </xdr:cNvPicPr>
          </xdr:nvPicPr>
          <xdr:blipFill rotWithShape="1">
            <a:blip xmlns:r="http://schemas.openxmlformats.org/officeDocument/2006/relationships" r:embed="rId3"/>
            <a:srcRect l="469" t="1430" r="25600" b="2801"/>
            <a:stretch>
              <a:fillRect/>
            </a:stretch>
          </xdr:blipFill>
          <xdr:spPr>
            <a:xfrm>
              <a:off x="1070161" y="6086662"/>
              <a:ext cx="3488766" cy="150158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715138</xdr:colOff>
          <xdr:row>24</xdr:row>
          <xdr:rowOff>28524</xdr:rowOff>
        </xdr:from>
        <xdr:to>
          <xdr:col>9</xdr:col>
          <xdr:colOff>838402</xdr:colOff>
          <xdr:row>25</xdr:row>
          <xdr:rowOff>6112</xdr:rowOff>
        </xdr:to>
        <xdr:pic>
          <xdr:nvPicPr>
            <xdr:cNvPr id="14" name="Рисунок 13">
              <a:extLst>
                <a:ext uri="{FF2B5EF4-FFF2-40B4-BE49-F238E27FC236}">
                  <a16:creationId xmlns:a16="http://schemas.microsoft.com/office/drawing/2014/main" id="{00000000-0008-0000-03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Стіна1" spid="_x0000_s129499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469" t="1430" r="25600" b="2801"/>
            <a:stretch>
              <a:fillRect/>
            </a:stretch>
          </xdr:blipFill>
          <xdr:spPr>
            <a:xfrm>
              <a:off x="5183229" y="6055251"/>
              <a:ext cx="3517629" cy="150158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11205</xdr:colOff>
          <xdr:row>24</xdr:row>
          <xdr:rowOff>11206</xdr:rowOff>
        </xdr:from>
        <xdr:to>
          <xdr:col>15</xdr:col>
          <xdr:colOff>134470</xdr:colOff>
          <xdr:row>24</xdr:row>
          <xdr:rowOff>1512794</xdr:rowOff>
        </xdr:to>
        <xdr:pic>
          <xdr:nvPicPr>
            <xdr:cNvPr id="19" name="Рисунок 18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Підлоги2" spid="_x0000_s129500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469" t="1430" r="25600" b="2801"/>
            <a:stretch>
              <a:fillRect/>
            </a:stretch>
          </xdr:blipFill>
          <xdr:spPr>
            <a:xfrm>
              <a:off x="9132793" y="5983941"/>
              <a:ext cx="3529854" cy="150158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671607</xdr:colOff>
          <xdr:row>13</xdr:row>
          <xdr:rowOff>15319</xdr:rowOff>
        </xdr:from>
        <xdr:to>
          <xdr:col>15</xdr:col>
          <xdr:colOff>241216</xdr:colOff>
          <xdr:row>14</xdr:row>
          <xdr:rowOff>65561</xdr:rowOff>
        </xdr:to>
        <xdr:pic>
          <xdr:nvPicPr>
            <xdr:cNvPr id="41" name="Рисунок 40">
              <a:extLst>
                <a:ext uri="{FF2B5EF4-FFF2-40B4-BE49-F238E27FC236}">
                  <a16:creationId xmlns:a16="http://schemas.microsoft.com/office/drawing/2014/main" id="{00000000-0008-0000-0300-000029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2" spid="_x0000_s129501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9525" t="1542" r="46025" b="6530"/>
            <a:stretch>
              <a:fillRect/>
            </a:stretch>
          </xdr:blipFill>
          <xdr:spPr>
            <a:xfrm>
              <a:off x="10802743" y="3063319"/>
              <a:ext cx="2115383" cy="105469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2388</xdr:colOff>
          <xdr:row>12</xdr:row>
          <xdr:rowOff>147205</xdr:rowOff>
        </xdr:from>
        <xdr:to>
          <xdr:col>13</xdr:col>
          <xdr:colOff>209550</xdr:colOff>
          <xdr:row>14</xdr:row>
          <xdr:rowOff>38346</xdr:rowOff>
        </xdr:to>
        <xdr:pic>
          <xdr:nvPicPr>
            <xdr:cNvPr id="42" name="Рисунок 41">
              <a:extLst>
                <a:ext uri="{FF2B5EF4-FFF2-40B4-BE49-F238E27FC236}">
                  <a16:creationId xmlns:a16="http://schemas.microsoft.com/office/drawing/2014/main" id="{00000000-0008-0000-0300-00002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2" spid="_x0000_s129502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327" t="1335" r="39387" b="2367"/>
            <a:stretch>
              <a:fillRect/>
            </a:stretch>
          </xdr:blipFill>
          <xdr:spPr>
            <a:xfrm>
              <a:off x="8079588" y="3290455"/>
              <a:ext cx="3636162" cy="11103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22174</xdr:colOff>
          <xdr:row>13</xdr:row>
          <xdr:rowOff>15319</xdr:rowOff>
        </xdr:from>
        <xdr:to>
          <xdr:col>23</xdr:col>
          <xdr:colOff>449035</xdr:colOff>
          <xdr:row>14</xdr:row>
          <xdr:rowOff>65561</xdr:rowOff>
        </xdr:to>
        <xdr:pic>
          <xdr:nvPicPr>
            <xdr:cNvPr id="43" name="Рисунок 42">
              <a:extLst>
                <a:ext uri="{FF2B5EF4-FFF2-40B4-BE49-F238E27FC236}">
                  <a16:creationId xmlns:a16="http://schemas.microsoft.com/office/drawing/2014/main" id="{00000000-0008-0000-0300-00002B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3" spid="_x0000_s129503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9525" t="1542" r="46025" b="6530"/>
            <a:stretch>
              <a:fillRect/>
            </a:stretch>
          </xdr:blipFill>
          <xdr:spPr>
            <a:xfrm>
              <a:off x="17976799" y="3063319"/>
              <a:ext cx="2141361" cy="105036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67331</xdr:colOff>
          <xdr:row>12</xdr:row>
          <xdr:rowOff>147205</xdr:rowOff>
        </xdr:from>
        <xdr:to>
          <xdr:col>21</xdr:col>
          <xdr:colOff>190500</xdr:colOff>
          <xdr:row>14</xdr:row>
          <xdr:rowOff>38346</xdr:rowOff>
        </xdr:to>
        <xdr:pic>
          <xdr:nvPicPr>
            <xdr:cNvPr id="44" name="Рисунок 43">
              <a:extLst>
                <a:ext uri="{FF2B5EF4-FFF2-40B4-BE49-F238E27FC236}">
                  <a16:creationId xmlns:a16="http://schemas.microsoft.com/office/drawing/2014/main" id="{00000000-0008-0000-0300-00002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3" spid="_x0000_s129504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327" t="1335" r="39387" b="2367"/>
            <a:stretch>
              <a:fillRect/>
            </a:stretch>
          </xdr:blipFill>
          <xdr:spPr>
            <a:xfrm>
              <a:off x="15002531" y="3290455"/>
              <a:ext cx="3552169" cy="11103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236487</xdr:colOff>
          <xdr:row>13</xdr:row>
          <xdr:rowOff>39131</xdr:rowOff>
        </xdr:from>
        <xdr:to>
          <xdr:col>31</xdr:col>
          <xdr:colOff>663349</xdr:colOff>
          <xdr:row>14</xdr:row>
          <xdr:rowOff>89373</xdr:rowOff>
        </xdr:to>
        <xdr:pic>
          <xdr:nvPicPr>
            <xdr:cNvPr id="45" name="Рисунок 44">
              <a:extLst>
                <a:ext uri="{FF2B5EF4-FFF2-40B4-BE49-F238E27FC236}">
                  <a16:creationId xmlns:a16="http://schemas.microsoft.com/office/drawing/2014/main" id="{00000000-0008-0000-0300-00002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4" spid="_x0000_s129505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9525" t="1542" r="46025" b="6530"/>
            <a:stretch>
              <a:fillRect/>
            </a:stretch>
          </xdr:blipFill>
          <xdr:spPr>
            <a:xfrm>
              <a:off x="25049112" y="3087131"/>
              <a:ext cx="2141361" cy="105036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26201</xdr:colOff>
          <xdr:row>12</xdr:row>
          <xdr:rowOff>171017</xdr:rowOff>
        </xdr:from>
        <xdr:to>
          <xdr:col>29</xdr:col>
          <xdr:colOff>9428</xdr:colOff>
          <xdr:row>14</xdr:row>
          <xdr:rowOff>62158</xdr:rowOff>
        </xdr:to>
        <xdr:pic>
          <xdr:nvPicPr>
            <xdr:cNvPr id="46" name="Рисунок 45">
              <a:extLst>
                <a:ext uri="{FF2B5EF4-FFF2-40B4-BE49-F238E27FC236}">
                  <a16:creationId xmlns:a16="http://schemas.microsoft.com/office/drawing/2014/main" id="{00000000-0008-0000-0300-00002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4" spid="_x0000_s129506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327" t="1335" r="39387" b="2367"/>
            <a:stretch>
              <a:fillRect/>
            </a:stretch>
          </xdr:blipFill>
          <xdr:spPr>
            <a:xfrm>
              <a:off x="21466110" y="2889972"/>
              <a:ext cx="3377592" cy="1099703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812891</xdr:colOff>
          <xdr:row>24</xdr:row>
          <xdr:rowOff>35018</xdr:rowOff>
        </xdr:from>
        <xdr:to>
          <xdr:col>25</xdr:col>
          <xdr:colOff>87568</xdr:colOff>
          <xdr:row>25</xdr:row>
          <xdr:rowOff>12606</xdr:rowOff>
        </xdr:to>
        <xdr:pic>
          <xdr:nvPicPr>
            <xdr:cNvPr id="47" name="Рисунок 46">
              <a:extLst>
                <a:ext uri="{FF2B5EF4-FFF2-40B4-BE49-F238E27FC236}">
                  <a16:creationId xmlns:a16="http://schemas.microsoft.com/office/drawing/2014/main" id="{00000000-0008-0000-0300-00002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Радіатори1" spid="_x0000_s129507"/>
                </a:ext>
              </a:extLst>
            </xdr:cNvPicPr>
          </xdr:nvPicPr>
          <xdr:blipFill rotWithShape="1">
            <a:blip xmlns:r="http://schemas.openxmlformats.org/officeDocument/2006/relationships" r:embed="rId5"/>
            <a:srcRect l="469" t="1430" r="25600" b="2801"/>
            <a:stretch>
              <a:fillRect/>
            </a:stretch>
          </xdr:blipFill>
          <xdr:spPr>
            <a:xfrm>
              <a:off x="18148391" y="6633245"/>
              <a:ext cx="3517632" cy="150158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27081</xdr:colOff>
          <xdr:row>24</xdr:row>
          <xdr:rowOff>11206</xdr:rowOff>
        </xdr:from>
        <xdr:to>
          <xdr:col>20</xdr:col>
          <xdr:colOff>34637</xdr:colOff>
          <xdr:row>24</xdr:row>
          <xdr:rowOff>1512794</xdr:rowOff>
        </xdr:to>
        <xdr:pic>
          <xdr:nvPicPr>
            <xdr:cNvPr id="39" name="Рисунок 38">
              <a:extLst>
                <a:ext uri="{FF2B5EF4-FFF2-40B4-BE49-F238E27FC236}">
                  <a16:creationId xmlns:a16="http://schemas.microsoft.com/office/drawing/2014/main" id="{00000000-0008-0000-0300-000027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Стіни2" spid="_x0000_s129508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469" t="1430" r="25600" b="2801"/>
            <a:stretch>
              <a:fillRect/>
            </a:stretch>
          </xdr:blipFill>
          <xdr:spPr>
            <a:xfrm>
              <a:off x="13968217" y="6609433"/>
              <a:ext cx="3401920" cy="150158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35017</xdr:colOff>
          <xdr:row>24</xdr:row>
          <xdr:rowOff>19143</xdr:rowOff>
        </xdr:from>
        <xdr:to>
          <xdr:col>30</xdr:col>
          <xdr:colOff>158282</xdr:colOff>
          <xdr:row>24</xdr:row>
          <xdr:rowOff>1520731</xdr:rowOff>
        </xdr:to>
        <xdr:pic>
          <xdr:nvPicPr>
            <xdr:cNvPr id="40" name="Рисунок 39">
              <a:extLst>
                <a:ext uri="{FF2B5EF4-FFF2-40B4-BE49-F238E27FC236}">
                  <a16:creationId xmlns:a16="http://schemas.microsoft.com/office/drawing/2014/main" id="{00000000-0008-0000-0300-00002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Фанкойли" spid="_x0000_s129509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469" t="1430" r="25600" b="2801"/>
            <a:stretch>
              <a:fillRect/>
            </a:stretch>
          </xdr:blipFill>
          <xdr:spPr>
            <a:xfrm>
              <a:off x="21863142" y="6067518"/>
              <a:ext cx="3488766" cy="150158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714375</xdr:colOff>
          <xdr:row>7</xdr:row>
          <xdr:rowOff>104775</xdr:rowOff>
        </xdr:from>
        <xdr:to>
          <xdr:col>1</xdr:col>
          <xdr:colOff>571500</xdr:colOff>
          <xdr:row>12</xdr:row>
          <xdr:rowOff>71101</xdr:rowOff>
        </xdr:to>
        <xdr:pic>
          <xdr:nvPicPr>
            <xdr:cNvPr id="5" name="Рисунок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Wi_Fi_1" spid="_x0000_s129510"/>
                </a:ext>
              </a:extLst>
            </xdr:cNvPicPr>
          </xdr:nvPicPr>
          <xdr:blipFill rotWithShape="1">
            <a:blip xmlns:r="http://schemas.openxmlformats.org/officeDocument/2006/relationships" r:embed="rId6"/>
            <a:srcRect l="19412" r="57907"/>
            <a:stretch>
              <a:fillRect/>
            </a:stretch>
          </xdr:blipFill>
          <xdr:spPr>
            <a:xfrm>
              <a:off x="714375" y="2190750"/>
              <a:ext cx="1066800" cy="1014076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66261</xdr:colOff>
          <xdr:row>3</xdr:row>
          <xdr:rowOff>66261</xdr:rowOff>
        </xdr:from>
        <xdr:to>
          <xdr:col>1</xdr:col>
          <xdr:colOff>785178</xdr:colOff>
          <xdr:row>3</xdr:row>
          <xdr:rowOff>662609</xdr:rowOff>
        </xdr:to>
        <xdr:pic>
          <xdr:nvPicPr>
            <xdr:cNvPr id="4" name="Рисунок 3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" spid="_x0000_s129511"/>
                </a:ext>
              </a:extLst>
            </xdr:cNvPicPr>
          </xdr:nvPicPr>
          <xdr:blipFill rotWithShape="1">
            <a:blip xmlns:r="http://schemas.openxmlformats.org/officeDocument/2006/relationships" r:embed="rId7"/>
            <a:srcRect l="1631" t="5547" r="64345" b="4153"/>
            <a:stretch>
              <a:fillRect/>
            </a:stretch>
          </xdr:blipFill>
          <xdr:spPr>
            <a:xfrm>
              <a:off x="1275522" y="911087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66260</xdr:colOff>
          <xdr:row>3</xdr:row>
          <xdr:rowOff>79868</xdr:rowOff>
        </xdr:from>
        <xdr:to>
          <xdr:col>2</xdr:col>
          <xdr:colOff>785177</xdr:colOff>
          <xdr:row>3</xdr:row>
          <xdr:rowOff>676216</xdr:rowOff>
        </xdr:to>
        <xdr:pic>
          <xdr:nvPicPr>
            <xdr:cNvPr id="48" name="Рисунок 47">
              <a:extLst>
                <a:ext uri="{FF2B5EF4-FFF2-40B4-BE49-F238E27FC236}">
                  <a16:creationId xmlns:a16="http://schemas.microsoft.com/office/drawing/2014/main" id="{00000000-0008-0000-0300-00003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2" spid="_x0000_s129512"/>
                </a:ext>
              </a:extLst>
            </xdr:cNvPicPr>
          </xdr:nvPicPr>
          <xdr:blipFill rotWithShape="1">
            <a:blip xmlns:r="http://schemas.openxmlformats.org/officeDocument/2006/relationships" r:embed="rId8"/>
            <a:srcRect l="1631" t="5547" r="64345" b="4153"/>
            <a:stretch>
              <a:fillRect/>
            </a:stretch>
          </xdr:blipFill>
          <xdr:spPr>
            <a:xfrm>
              <a:off x="2120939" y="923511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79868</xdr:colOff>
          <xdr:row>3</xdr:row>
          <xdr:rowOff>79868</xdr:rowOff>
        </xdr:from>
        <xdr:to>
          <xdr:col>3</xdr:col>
          <xdr:colOff>798785</xdr:colOff>
          <xdr:row>3</xdr:row>
          <xdr:rowOff>676216</xdr:rowOff>
        </xdr:to>
        <xdr:pic>
          <xdr:nvPicPr>
            <xdr:cNvPr id="49" name="Рисунок 48">
              <a:extLst>
                <a:ext uri="{FF2B5EF4-FFF2-40B4-BE49-F238E27FC236}">
                  <a16:creationId xmlns:a16="http://schemas.microsoft.com/office/drawing/2014/main" id="{00000000-0008-0000-0300-00003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3" spid="_x0000_s129513"/>
                </a:ext>
              </a:extLst>
            </xdr:cNvPicPr>
          </xdr:nvPicPr>
          <xdr:blipFill rotWithShape="1">
            <a:blip xmlns:r="http://schemas.openxmlformats.org/officeDocument/2006/relationships" r:embed="rId9"/>
            <a:srcRect l="1631" t="5547" r="64345" b="4153"/>
            <a:stretch>
              <a:fillRect/>
            </a:stretch>
          </xdr:blipFill>
          <xdr:spPr>
            <a:xfrm>
              <a:off x="2978189" y="923511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79868</xdr:colOff>
          <xdr:row>3</xdr:row>
          <xdr:rowOff>79868</xdr:rowOff>
        </xdr:from>
        <xdr:to>
          <xdr:col>4</xdr:col>
          <xdr:colOff>798785</xdr:colOff>
          <xdr:row>3</xdr:row>
          <xdr:rowOff>676216</xdr:rowOff>
        </xdr:to>
        <xdr:pic>
          <xdr:nvPicPr>
            <xdr:cNvPr id="50" name="Рисунок 49">
              <a:extLst>
                <a:ext uri="{FF2B5EF4-FFF2-40B4-BE49-F238E27FC236}">
                  <a16:creationId xmlns:a16="http://schemas.microsoft.com/office/drawing/2014/main" id="{00000000-0008-0000-0300-00003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4" spid="_x0000_s129514"/>
                </a:ext>
              </a:extLst>
            </xdr:cNvPicPr>
          </xdr:nvPicPr>
          <xdr:blipFill rotWithShape="1">
            <a:blip xmlns:r="http://schemas.openxmlformats.org/officeDocument/2006/relationships" r:embed="rId10"/>
            <a:srcRect l="1631" t="5547" r="64345" b="4153"/>
            <a:stretch>
              <a:fillRect/>
            </a:stretch>
          </xdr:blipFill>
          <xdr:spPr>
            <a:xfrm>
              <a:off x="3821832" y="923511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66260</xdr:colOff>
          <xdr:row>3</xdr:row>
          <xdr:rowOff>66261</xdr:rowOff>
        </xdr:from>
        <xdr:to>
          <xdr:col>5</xdr:col>
          <xdr:colOff>785177</xdr:colOff>
          <xdr:row>3</xdr:row>
          <xdr:rowOff>662609</xdr:rowOff>
        </xdr:to>
        <xdr:pic>
          <xdr:nvPicPr>
            <xdr:cNvPr id="51" name="Рисунок 50">
              <a:extLst>
                <a:ext uri="{FF2B5EF4-FFF2-40B4-BE49-F238E27FC236}">
                  <a16:creationId xmlns:a16="http://schemas.microsoft.com/office/drawing/2014/main" id="{00000000-0008-0000-0300-00003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5" spid="_x0000_s129515"/>
                </a:ext>
              </a:extLst>
            </xdr:cNvPicPr>
          </xdr:nvPicPr>
          <xdr:blipFill rotWithShape="1">
            <a:blip xmlns:r="http://schemas.openxmlformats.org/officeDocument/2006/relationships" r:embed="rId11"/>
            <a:srcRect l="1631" t="5547" r="64345" b="4153"/>
            <a:stretch>
              <a:fillRect/>
            </a:stretch>
          </xdr:blipFill>
          <xdr:spPr>
            <a:xfrm>
              <a:off x="4651867" y="909904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66260</xdr:colOff>
          <xdr:row>3</xdr:row>
          <xdr:rowOff>93475</xdr:rowOff>
        </xdr:from>
        <xdr:to>
          <xdr:col>6</xdr:col>
          <xdr:colOff>785177</xdr:colOff>
          <xdr:row>3</xdr:row>
          <xdr:rowOff>689823</xdr:rowOff>
        </xdr:to>
        <xdr:pic>
          <xdr:nvPicPr>
            <xdr:cNvPr id="52" name="Рисунок 51">
              <a:extLst>
                <a:ext uri="{FF2B5EF4-FFF2-40B4-BE49-F238E27FC236}">
                  <a16:creationId xmlns:a16="http://schemas.microsoft.com/office/drawing/2014/main" id="{00000000-0008-0000-0300-00003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6" spid="_x0000_s129516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631" t="5547" r="64345" b="4153"/>
            <a:stretch>
              <a:fillRect/>
            </a:stretch>
          </xdr:blipFill>
          <xdr:spPr>
            <a:xfrm>
              <a:off x="5495510" y="937118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66260</xdr:colOff>
          <xdr:row>3</xdr:row>
          <xdr:rowOff>79868</xdr:rowOff>
        </xdr:from>
        <xdr:to>
          <xdr:col>7</xdr:col>
          <xdr:colOff>785177</xdr:colOff>
          <xdr:row>3</xdr:row>
          <xdr:rowOff>676216</xdr:rowOff>
        </xdr:to>
        <xdr:pic>
          <xdr:nvPicPr>
            <xdr:cNvPr id="53" name="Рисунок 52">
              <a:extLst>
                <a:ext uri="{FF2B5EF4-FFF2-40B4-BE49-F238E27FC236}">
                  <a16:creationId xmlns:a16="http://schemas.microsoft.com/office/drawing/2014/main" id="{00000000-0008-0000-0300-000035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7" spid="_x0000_s129517"/>
                </a:ext>
              </a:extLst>
            </xdr:cNvPicPr>
          </xdr:nvPicPr>
          <xdr:blipFill rotWithShape="1">
            <a:blip xmlns:r="http://schemas.openxmlformats.org/officeDocument/2006/relationships" r:embed="rId13"/>
            <a:srcRect l="1631" t="5547" r="64345" b="4153"/>
            <a:stretch>
              <a:fillRect/>
            </a:stretch>
          </xdr:blipFill>
          <xdr:spPr>
            <a:xfrm>
              <a:off x="6339153" y="923511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66259</xdr:colOff>
          <xdr:row>3</xdr:row>
          <xdr:rowOff>79868</xdr:rowOff>
        </xdr:from>
        <xdr:to>
          <xdr:col>8</xdr:col>
          <xdr:colOff>785176</xdr:colOff>
          <xdr:row>3</xdr:row>
          <xdr:rowOff>676216</xdr:rowOff>
        </xdr:to>
        <xdr:pic>
          <xdr:nvPicPr>
            <xdr:cNvPr id="54" name="Рисунок 53">
              <a:extLst>
                <a:ext uri="{FF2B5EF4-FFF2-40B4-BE49-F238E27FC236}">
                  <a16:creationId xmlns:a16="http://schemas.microsoft.com/office/drawing/2014/main" id="{00000000-0008-0000-0300-00003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8" spid="_x0000_s129518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631" t="5547" r="64345" b="4153"/>
            <a:stretch>
              <a:fillRect/>
            </a:stretch>
          </xdr:blipFill>
          <xdr:spPr>
            <a:xfrm>
              <a:off x="7182795" y="923511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66259</xdr:colOff>
          <xdr:row>3</xdr:row>
          <xdr:rowOff>107082</xdr:rowOff>
        </xdr:from>
        <xdr:to>
          <xdr:col>9</xdr:col>
          <xdr:colOff>785176</xdr:colOff>
          <xdr:row>3</xdr:row>
          <xdr:rowOff>703430</xdr:rowOff>
        </xdr:to>
        <xdr:pic>
          <xdr:nvPicPr>
            <xdr:cNvPr id="55" name="Рисунок 54">
              <a:extLst>
                <a:ext uri="{FF2B5EF4-FFF2-40B4-BE49-F238E27FC236}">
                  <a16:creationId xmlns:a16="http://schemas.microsoft.com/office/drawing/2014/main" id="{00000000-0008-0000-0300-000037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9" spid="_x0000_s129519"/>
                </a:ext>
              </a:extLst>
            </xdr:cNvPicPr>
          </xdr:nvPicPr>
          <xdr:blipFill rotWithShape="1">
            <a:blip xmlns:r="http://schemas.openxmlformats.org/officeDocument/2006/relationships" r:embed="rId14"/>
            <a:srcRect l="1631" t="5547" r="64345" b="4153"/>
            <a:stretch>
              <a:fillRect/>
            </a:stretch>
          </xdr:blipFill>
          <xdr:spPr>
            <a:xfrm>
              <a:off x="8026438" y="950725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66260</xdr:colOff>
          <xdr:row>3</xdr:row>
          <xdr:rowOff>93475</xdr:rowOff>
        </xdr:from>
        <xdr:to>
          <xdr:col>10</xdr:col>
          <xdr:colOff>785177</xdr:colOff>
          <xdr:row>3</xdr:row>
          <xdr:rowOff>689823</xdr:rowOff>
        </xdr:to>
        <xdr:pic>
          <xdr:nvPicPr>
            <xdr:cNvPr id="56" name="Рисунок 55">
              <a:extLst>
                <a:ext uri="{FF2B5EF4-FFF2-40B4-BE49-F238E27FC236}">
                  <a16:creationId xmlns:a16="http://schemas.microsoft.com/office/drawing/2014/main" id="{00000000-0008-0000-0300-00003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0" spid="_x0000_s129520"/>
                </a:ext>
              </a:extLst>
            </xdr:cNvPicPr>
          </xdr:nvPicPr>
          <xdr:blipFill rotWithShape="1">
            <a:blip xmlns:r="http://schemas.openxmlformats.org/officeDocument/2006/relationships" r:embed="rId15"/>
            <a:srcRect l="1631" t="5547" r="64345" b="4153"/>
            <a:stretch>
              <a:fillRect/>
            </a:stretch>
          </xdr:blipFill>
          <xdr:spPr>
            <a:xfrm>
              <a:off x="8870081" y="937118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66260</xdr:colOff>
          <xdr:row>3</xdr:row>
          <xdr:rowOff>93475</xdr:rowOff>
        </xdr:from>
        <xdr:to>
          <xdr:col>11</xdr:col>
          <xdr:colOff>785177</xdr:colOff>
          <xdr:row>3</xdr:row>
          <xdr:rowOff>689823</xdr:rowOff>
        </xdr:to>
        <xdr:pic>
          <xdr:nvPicPr>
            <xdr:cNvPr id="57" name="Рисунок 56">
              <a:extLst>
                <a:ext uri="{FF2B5EF4-FFF2-40B4-BE49-F238E27FC236}">
                  <a16:creationId xmlns:a16="http://schemas.microsoft.com/office/drawing/2014/main" id="{00000000-0008-0000-0300-000039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1" spid="_x0000_s129521"/>
                </a:ext>
              </a:extLst>
            </xdr:cNvPicPr>
          </xdr:nvPicPr>
          <xdr:blipFill rotWithShape="1">
            <a:blip xmlns:r="http://schemas.openxmlformats.org/officeDocument/2006/relationships" r:embed="rId16"/>
            <a:srcRect l="1631" t="5547" r="64345" b="4153"/>
            <a:stretch>
              <a:fillRect/>
            </a:stretch>
          </xdr:blipFill>
          <xdr:spPr>
            <a:xfrm>
              <a:off x="9713724" y="937118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79867</xdr:colOff>
          <xdr:row>3</xdr:row>
          <xdr:rowOff>93475</xdr:rowOff>
        </xdr:from>
        <xdr:to>
          <xdr:col>12</xdr:col>
          <xdr:colOff>798784</xdr:colOff>
          <xdr:row>3</xdr:row>
          <xdr:rowOff>689823</xdr:rowOff>
        </xdr:to>
        <xdr:pic>
          <xdr:nvPicPr>
            <xdr:cNvPr id="58" name="Рисунок 57">
              <a:extLst>
                <a:ext uri="{FF2B5EF4-FFF2-40B4-BE49-F238E27FC236}">
                  <a16:creationId xmlns:a16="http://schemas.microsoft.com/office/drawing/2014/main" id="{00000000-0008-0000-0300-00003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2" spid="_x0000_s129522"/>
                </a:ext>
              </a:extLst>
            </xdr:cNvPicPr>
          </xdr:nvPicPr>
          <xdr:blipFill rotWithShape="1">
            <a:blip xmlns:r="http://schemas.openxmlformats.org/officeDocument/2006/relationships" r:embed="rId17"/>
            <a:srcRect l="1631" t="5547" r="64345" b="4153"/>
            <a:stretch>
              <a:fillRect/>
            </a:stretch>
          </xdr:blipFill>
          <xdr:spPr>
            <a:xfrm>
              <a:off x="10570974" y="937118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66260</xdr:colOff>
          <xdr:row>3</xdr:row>
          <xdr:rowOff>93475</xdr:rowOff>
        </xdr:from>
        <xdr:to>
          <xdr:col>13</xdr:col>
          <xdr:colOff>785177</xdr:colOff>
          <xdr:row>3</xdr:row>
          <xdr:rowOff>689823</xdr:rowOff>
        </xdr:to>
        <xdr:pic>
          <xdr:nvPicPr>
            <xdr:cNvPr id="59" name="Рисунок 58">
              <a:extLst>
                <a:ext uri="{FF2B5EF4-FFF2-40B4-BE49-F238E27FC236}">
                  <a16:creationId xmlns:a16="http://schemas.microsoft.com/office/drawing/2014/main" id="{00000000-0008-0000-0300-00003B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3" spid="_x0000_s129523"/>
                </a:ext>
              </a:extLst>
            </xdr:cNvPicPr>
          </xdr:nvPicPr>
          <xdr:blipFill rotWithShape="1">
            <a:blip xmlns:r="http://schemas.openxmlformats.org/officeDocument/2006/relationships" r:embed="rId18"/>
            <a:srcRect l="1631" t="5547" r="64345" b="4153"/>
            <a:stretch>
              <a:fillRect/>
            </a:stretch>
          </xdr:blipFill>
          <xdr:spPr>
            <a:xfrm>
              <a:off x="11401010" y="937118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79867</xdr:colOff>
          <xdr:row>3</xdr:row>
          <xdr:rowOff>93475</xdr:rowOff>
        </xdr:from>
        <xdr:to>
          <xdr:col>14</xdr:col>
          <xdr:colOff>798784</xdr:colOff>
          <xdr:row>3</xdr:row>
          <xdr:rowOff>689823</xdr:rowOff>
        </xdr:to>
        <xdr:pic>
          <xdr:nvPicPr>
            <xdr:cNvPr id="60" name="Рисунок 59">
              <a:extLst>
                <a:ext uri="{FF2B5EF4-FFF2-40B4-BE49-F238E27FC236}">
                  <a16:creationId xmlns:a16="http://schemas.microsoft.com/office/drawing/2014/main" id="{00000000-0008-0000-0300-00003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4" spid="_x0000_s129524"/>
                </a:ext>
              </a:extLst>
            </xdr:cNvPicPr>
          </xdr:nvPicPr>
          <xdr:blipFill rotWithShape="1">
            <a:blip xmlns:r="http://schemas.openxmlformats.org/officeDocument/2006/relationships" r:embed="rId19"/>
            <a:srcRect l="1631" t="5547" r="64345" b="4153"/>
            <a:stretch>
              <a:fillRect/>
            </a:stretch>
          </xdr:blipFill>
          <xdr:spPr>
            <a:xfrm>
              <a:off x="12258260" y="937118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93473</xdr:colOff>
          <xdr:row>3</xdr:row>
          <xdr:rowOff>107082</xdr:rowOff>
        </xdr:from>
        <xdr:to>
          <xdr:col>16</xdr:col>
          <xdr:colOff>812390</xdr:colOff>
          <xdr:row>3</xdr:row>
          <xdr:rowOff>703430</xdr:rowOff>
        </xdr:to>
        <xdr:pic>
          <xdr:nvPicPr>
            <xdr:cNvPr id="61" name="Рисунок 60">
              <a:extLst>
                <a:ext uri="{FF2B5EF4-FFF2-40B4-BE49-F238E27FC236}">
                  <a16:creationId xmlns:a16="http://schemas.microsoft.com/office/drawing/2014/main" id="{00000000-0008-0000-0300-00003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6" spid="_x0000_s129525"/>
                </a:ext>
              </a:extLst>
            </xdr:cNvPicPr>
          </xdr:nvPicPr>
          <xdr:blipFill rotWithShape="1">
            <a:blip xmlns:r="http://schemas.openxmlformats.org/officeDocument/2006/relationships" r:embed="rId20"/>
            <a:srcRect l="1631" t="5547" r="64345" b="4153"/>
            <a:stretch>
              <a:fillRect/>
            </a:stretch>
          </xdr:blipFill>
          <xdr:spPr>
            <a:xfrm>
              <a:off x="13959152" y="950725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107080</xdr:colOff>
          <xdr:row>3</xdr:row>
          <xdr:rowOff>93474</xdr:rowOff>
        </xdr:from>
        <xdr:to>
          <xdr:col>15</xdr:col>
          <xdr:colOff>825997</xdr:colOff>
          <xdr:row>3</xdr:row>
          <xdr:rowOff>689822</xdr:rowOff>
        </xdr:to>
        <xdr:pic>
          <xdr:nvPicPr>
            <xdr:cNvPr id="62" name="Рисунок 61">
              <a:extLst>
                <a:ext uri="{FF2B5EF4-FFF2-40B4-BE49-F238E27FC236}">
                  <a16:creationId xmlns:a16="http://schemas.microsoft.com/office/drawing/2014/main" id="{00000000-0008-0000-0300-00003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5" spid="_x0000_s129526"/>
                </a:ext>
              </a:extLst>
            </xdr:cNvPicPr>
          </xdr:nvPicPr>
          <xdr:blipFill rotWithShape="1">
            <a:blip xmlns:r="http://schemas.openxmlformats.org/officeDocument/2006/relationships" r:embed="rId21"/>
            <a:srcRect l="1631" t="5547" r="64345" b="4153"/>
            <a:stretch>
              <a:fillRect/>
            </a:stretch>
          </xdr:blipFill>
          <xdr:spPr>
            <a:xfrm>
              <a:off x="13129116" y="937117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66260</xdr:colOff>
          <xdr:row>3</xdr:row>
          <xdr:rowOff>107082</xdr:rowOff>
        </xdr:from>
        <xdr:to>
          <xdr:col>17</xdr:col>
          <xdr:colOff>785177</xdr:colOff>
          <xdr:row>3</xdr:row>
          <xdr:rowOff>703430</xdr:rowOff>
        </xdr:to>
        <xdr:pic>
          <xdr:nvPicPr>
            <xdr:cNvPr id="63" name="Рисунок 62">
              <a:extLst>
                <a:ext uri="{FF2B5EF4-FFF2-40B4-BE49-F238E27FC236}">
                  <a16:creationId xmlns:a16="http://schemas.microsoft.com/office/drawing/2014/main" id="{00000000-0008-0000-0300-00003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7" spid="_x0000_s129527"/>
                </a:ext>
              </a:extLst>
            </xdr:cNvPicPr>
          </xdr:nvPicPr>
          <xdr:blipFill rotWithShape="1">
            <a:blip xmlns:r="http://schemas.openxmlformats.org/officeDocument/2006/relationships" r:embed="rId22"/>
            <a:srcRect l="1631" t="5547" r="64345" b="4153"/>
            <a:stretch>
              <a:fillRect/>
            </a:stretch>
          </xdr:blipFill>
          <xdr:spPr>
            <a:xfrm>
              <a:off x="14775581" y="950725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66260</xdr:colOff>
          <xdr:row>3</xdr:row>
          <xdr:rowOff>93475</xdr:rowOff>
        </xdr:from>
        <xdr:to>
          <xdr:col>18</xdr:col>
          <xdr:colOff>785177</xdr:colOff>
          <xdr:row>3</xdr:row>
          <xdr:rowOff>689823</xdr:rowOff>
        </xdr:to>
        <xdr:pic>
          <xdr:nvPicPr>
            <xdr:cNvPr id="64" name="Рисунок 63">
              <a:extLst>
                <a:ext uri="{FF2B5EF4-FFF2-40B4-BE49-F238E27FC236}">
                  <a16:creationId xmlns:a16="http://schemas.microsoft.com/office/drawing/2014/main" id="{00000000-0008-0000-0300-00004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8" spid="_x0000_s129528"/>
                </a:ext>
              </a:extLst>
            </xdr:cNvPicPr>
          </xdr:nvPicPr>
          <xdr:blipFill rotWithShape="1">
            <a:blip xmlns:r="http://schemas.openxmlformats.org/officeDocument/2006/relationships" r:embed="rId23"/>
            <a:srcRect l="1631" t="5547" r="64345" b="4153"/>
            <a:stretch>
              <a:fillRect/>
            </a:stretch>
          </xdr:blipFill>
          <xdr:spPr>
            <a:xfrm>
              <a:off x="15619224" y="937118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79867</xdr:colOff>
          <xdr:row>3</xdr:row>
          <xdr:rowOff>93475</xdr:rowOff>
        </xdr:from>
        <xdr:to>
          <xdr:col>19</xdr:col>
          <xdr:colOff>798784</xdr:colOff>
          <xdr:row>3</xdr:row>
          <xdr:rowOff>689823</xdr:rowOff>
        </xdr:to>
        <xdr:pic>
          <xdr:nvPicPr>
            <xdr:cNvPr id="65" name="Рисунок 64">
              <a:extLst>
                <a:ext uri="{FF2B5EF4-FFF2-40B4-BE49-F238E27FC236}">
                  <a16:creationId xmlns:a16="http://schemas.microsoft.com/office/drawing/2014/main" id="{00000000-0008-0000-0300-00004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19" spid="_x0000_s129529"/>
                </a:ext>
              </a:extLst>
            </xdr:cNvPicPr>
          </xdr:nvPicPr>
          <xdr:blipFill rotWithShape="1">
            <a:blip xmlns:r="http://schemas.openxmlformats.org/officeDocument/2006/relationships" r:embed="rId24"/>
            <a:srcRect l="1631" t="5547" r="64345" b="4153"/>
            <a:stretch>
              <a:fillRect/>
            </a:stretch>
          </xdr:blipFill>
          <xdr:spPr>
            <a:xfrm>
              <a:off x="16476474" y="937118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66259</xdr:colOff>
          <xdr:row>3</xdr:row>
          <xdr:rowOff>93475</xdr:rowOff>
        </xdr:from>
        <xdr:to>
          <xdr:col>20</xdr:col>
          <xdr:colOff>785176</xdr:colOff>
          <xdr:row>3</xdr:row>
          <xdr:rowOff>689823</xdr:rowOff>
        </xdr:to>
        <xdr:pic>
          <xdr:nvPicPr>
            <xdr:cNvPr id="66" name="Рисунок 65">
              <a:extLst>
                <a:ext uri="{FF2B5EF4-FFF2-40B4-BE49-F238E27FC236}">
                  <a16:creationId xmlns:a16="http://schemas.microsoft.com/office/drawing/2014/main" id="{00000000-0008-0000-0300-00004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1.20" spid="_x0000_s129530"/>
                </a:ext>
              </a:extLst>
            </xdr:cNvPicPr>
          </xdr:nvPicPr>
          <xdr:blipFill rotWithShape="1">
            <a:blip xmlns:r="http://schemas.openxmlformats.org/officeDocument/2006/relationships" r:embed="rId25"/>
            <a:srcRect l="1631" t="5547" r="64345" b="4153"/>
            <a:stretch>
              <a:fillRect/>
            </a:stretch>
          </xdr:blipFill>
          <xdr:spPr>
            <a:xfrm>
              <a:off x="17306509" y="937118"/>
              <a:ext cx="718917" cy="596348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 editAs="oneCell">
    <xdr:from>
      <xdr:col>11</xdr:col>
      <xdr:colOff>0</xdr:colOff>
      <xdr:row>0</xdr:row>
      <xdr:rowOff>0</xdr:rowOff>
    </xdr:from>
    <xdr:to>
      <xdr:col>13</xdr:col>
      <xdr:colOff>255814</xdr:colOff>
      <xdr:row>1</xdr:row>
      <xdr:rowOff>149295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91700" y="0"/>
          <a:ext cx="1970314" cy="5493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121227</xdr:colOff>
          <xdr:row>24</xdr:row>
          <xdr:rowOff>640773</xdr:rowOff>
        </xdr:from>
        <xdr:to>
          <xdr:col>1</xdr:col>
          <xdr:colOff>513433</xdr:colOff>
          <xdr:row>24</xdr:row>
          <xdr:rowOff>1034888</xdr:rowOff>
        </xdr:to>
        <xdr:pic>
          <xdr:nvPicPr>
            <xdr:cNvPr id="38" name="Рисунок 37">
              <a:extLst>
                <a:ext uri="{FF2B5EF4-FFF2-40B4-BE49-F238E27FC236}">
                  <a16:creationId xmlns:a16="http://schemas.microsoft.com/office/drawing/2014/main" id="{00000000-0008-0000-0300-00002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ActFloor1.1" spid="_x0000_s129531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8000" t="9160" r="76381" b="14943"/>
            <a:stretch>
              <a:fillRect/>
            </a:stretch>
          </xdr:blipFill>
          <xdr:spPr>
            <a:xfrm>
              <a:off x="1333500" y="7239000"/>
              <a:ext cx="392206" cy="39411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24</xdr:row>
          <xdr:rowOff>640773</xdr:rowOff>
        </xdr:from>
        <xdr:to>
          <xdr:col>11</xdr:col>
          <xdr:colOff>392206</xdr:colOff>
          <xdr:row>24</xdr:row>
          <xdr:rowOff>1034888</xdr:rowOff>
        </xdr:to>
        <xdr:pic>
          <xdr:nvPicPr>
            <xdr:cNvPr id="67" name="Рисунок 66">
              <a:extLst>
                <a:ext uri="{FF2B5EF4-FFF2-40B4-BE49-F238E27FC236}">
                  <a16:creationId xmlns:a16="http://schemas.microsoft.com/office/drawing/2014/main" id="{00000000-0008-0000-0300-00004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ActFloor1.2" spid="_x0000_s129532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8000" t="9160" r="76381" b="14943"/>
            <a:stretch>
              <a:fillRect/>
            </a:stretch>
          </xdr:blipFill>
          <xdr:spPr>
            <a:xfrm>
              <a:off x="9698182" y="7239000"/>
              <a:ext cx="392206" cy="39411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813955</xdr:colOff>
          <xdr:row>24</xdr:row>
          <xdr:rowOff>623454</xdr:rowOff>
        </xdr:from>
        <xdr:to>
          <xdr:col>21</xdr:col>
          <xdr:colOff>357570</xdr:colOff>
          <xdr:row>24</xdr:row>
          <xdr:rowOff>1017569</xdr:rowOff>
        </xdr:to>
        <xdr:pic>
          <xdr:nvPicPr>
            <xdr:cNvPr id="68" name="Рисунок 67">
              <a:extLst>
                <a:ext uri="{FF2B5EF4-FFF2-40B4-BE49-F238E27FC236}">
                  <a16:creationId xmlns:a16="http://schemas.microsoft.com/office/drawing/2014/main" id="{00000000-0008-0000-0300-00004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ActRad1" spid="_x0000_s129533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8000" t="9160" r="76381" b="14943"/>
            <a:stretch>
              <a:fillRect/>
            </a:stretch>
          </xdr:blipFill>
          <xdr:spPr>
            <a:xfrm>
              <a:off x="18149455" y="7221681"/>
              <a:ext cx="392206" cy="394115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732220</xdr:colOff>
          <xdr:row>12</xdr:row>
          <xdr:rowOff>190500</xdr:rowOff>
        </xdr:from>
        <xdr:to>
          <xdr:col>7</xdr:col>
          <xdr:colOff>418522</xdr:colOff>
          <xdr:row>13</xdr:row>
          <xdr:rowOff>916828</xdr:rowOff>
        </xdr:to>
        <xdr:pic>
          <xdr:nvPicPr>
            <xdr:cNvPr id="2" name="Рисунок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2.1" spid="_x0000_s130505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9525" t="1542" r="46025" b="6530"/>
            <a:stretch>
              <a:fillRect/>
            </a:stretch>
          </xdr:blipFill>
          <xdr:spPr>
            <a:xfrm>
              <a:off x="4490265" y="3307773"/>
              <a:ext cx="2232075" cy="934146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114957</xdr:colOff>
          <xdr:row>12</xdr:row>
          <xdr:rowOff>155863</xdr:rowOff>
        </xdr:from>
        <xdr:to>
          <xdr:col>5</xdr:col>
          <xdr:colOff>329046</xdr:colOff>
          <xdr:row>13</xdr:row>
          <xdr:rowOff>896560</xdr:rowOff>
        </xdr:to>
        <xdr:pic>
          <xdr:nvPicPr>
            <xdr:cNvPr id="3" name="Рисунок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2.1" spid="_x0000_s130506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327" t="1335" r="39387" b="2367"/>
            <a:stretch>
              <a:fillRect/>
            </a:stretch>
          </xdr:blipFill>
          <xdr:spPr>
            <a:xfrm>
              <a:off x="1327230" y="3273136"/>
              <a:ext cx="3608452" cy="94851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276412</xdr:colOff>
          <xdr:row>24</xdr:row>
          <xdr:rowOff>38287</xdr:rowOff>
        </xdr:from>
        <xdr:to>
          <xdr:col>5</xdr:col>
          <xdr:colOff>547688</xdr:colOff>
          <xdr:row>25</xdr:row>
          <xdr:rowOff>38287</xdr:rowOff>
        </xdr:to>
        <xdr:pic>
          <xdr:nvPicPr>
            <xdr:cNvPr id="4" name="Рисунок 3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Підлоги2.1" spid="_x0000_s130507"/>
                </a:ext>
              </a:extLst>
            </xdr:cNvPicPr>
          </xdr:nvPicPr>
          <xdr:blipFill rotWithShape="1">
            <a:blip xmlns:r="http://schemas.openxmlformats.org/officeDocument/2006/relationships" r:embed="rId3"/>
            <a:srcRect l="469" t="1430" r="25600" b="2801"/>
            <a:stretch>
              <a:fillRect/>
            </a:stretch>
          </xdr:blipFill>
          <xdr:spPr>
            <a:xfrm>
              <a:off x="1490850" y="6729600"/>
              <a:ext cx="3700276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715137</xdr:colOff>
          <xdr:row>24</xdr:row>
          <xdr:rowOff>28524</xdr:rowOff>
        </xdr:from>
        <xdr:to>
          <xdr:col>10</xdr:col>
          <xdr:colOff>0</xdr:colOff>
          <xdr:row>25</xdr:row>
          <xdr:rowOff>28524</xdr:rowOff>
        </xdr:to>
        <xdr:pic>
          <xdr:nvPicPr>
            <xdr:cNvPr id="5" name="Рисунок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Стіна2.1" spid="_x0000_s130508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469" t="1430" r="25600" b="2801"/>
            <a:stretch>
              <a:fillRect/>
            </a:stretch>
          </xdr:blipFill>
          <xdr:spPr>
            <a:xfrm>
              <a:off x="5321773" y="6626751"/>
              <a:ext cx="3527818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11206</xdr:colOff>
          <xdr:row>24</xdr:row>
          <xdr:rowOff>11206</xdr:rowOff>
        </xdr:from>
        <xdr:to>
          <xdr:col>15</xdr:col>
          <xdr:colOff>595312</xdr:colOff>
          <xdr:row>25</xdr:row>
          <xdr:rowOff>11206</xdr:rowOff>
        </xdr:to>
        <xdr:pic>
          <xdr:nvPicPr>
            <xdr:cNvPr id="6" name="Рисунок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Підлоги2.2" spid="_x0000_s130509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469" t="1430" r="25600" b="2801"/>
            <a:stretch>
              <a:fillRect/>
            </a:stretch>
          </xdr:blipFill>
          <xdr:spPr>
            <a:xfrm>
              <a:off x="9798144" y="6702519"/>
              <a:ext cx="4013106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485437</xdr:colOff>
          <xdr:row>12</xdr:row>
          <xdr:rowOff>192829</xdr:rowOff>
        </xdr:from>
        <xdr:to>
          <xdr:col>15</xdr:col>
          <xdr:colOff>380999</xdr:colOff>
          <xdr:row>13</xdr:row>
          <xdr:rowOff>983934</xdr:rowOff>
        </xdr:to>
        <xdr:pic>
          <xdr:nvPicPr>
            <xdr:cNvPr id="7" name="Рисунок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2.2" spid="_x0000_s130510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9525" t="1542" r="46025" b="6530"/>
            <a:stretch>
              <a:fillRect/>
            </a:stretch>
          </xdr:blipFill>
          <xdr:spPr>
            <a:xfrm>
              <a:off x="11129625" y="3359892"/>
              <a:ext cx="2467312" cy="100541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2388</xdr:colOff>
          <xdr:row>12</xdr:row>
          <xdr:rowOff>147205</xdr:rowOff>
        </xdr:from>
        <xdr:to>
          <xdr:col>13</xdr:col>
          <xdr:colOff>207818</xdr:colOff>
          <xdr:row>13</xdr:row>
          <xdr:rowOff>944804</xdr:rowOff>
        </xdr:to>
        <xdr:pic>
          <xdr:nvPicPr>
            <xdr:cNvPr id="8" name="Рисунок 7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2.2" spid="_x0000_s130511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327" t="1335" r="39387" b="2367"/>
            <a:stretch>
              <a:fillRect/>
            </a:stretch>
          </xdr:blipFill>
          <xdr:spPr>
            <a:xfrm>
              <a:off x="8003388" y="3264478"/>
              <a:ext cx="3599794" cy="100541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626145</xdr:colOff>
          <xdr:row>12</xdr:row>
          <xdr:rowOff>175511</xdr:rowOff>
        </xdr:from>
        <xdr:to>
          <xdr:col>23</xdr:col>
          <xdr:colOff>404812</xdr:colOff>
          <xdr:row>13</xdr:row>
          <xdr:rowOff>966616</xdr:rowOff>
        </xdr:to>
        <xdr:pic>
          <xdr:nvPicPr>
            <xdr:cNvPr id="9" name="Рисунок 8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2.3" spid="_x0000_s130512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9525" t="1542" r="46025" b="6530"/>
            <a:stretch>
              <a:fillRect/>
            </a:stretch>
          </xdr:blipFill>
          <xdr:spPr>
            <a:xfrm>
              <a:off x="18128333" y="3342574"/>
              <a:ext cx="2350417" cy="100541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67331</xdr:colOff>
          <xdr:row>12</xdr:row>
          <xdr:rowOff>147205</xdr:rowOff>
        </xdr:from>
        <xdr:to>
          <xdr:col>21</xdr:col>
          <xdr:colOff>207818</xdr:colOff>
          <xdr:row>13</xdr:row>
          <xdr:rowOff>938310</xdr:rowOff>
        </xdr:to>
        <xdr:pic>
          <xdr:nvPicPr>
            <xdr:cNvPr id="10" name="Рисунок 9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2.3" spid="_x0000_s130513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327" t="1335" r="39387" b="2367"/>
            <a:stretch>
              <a:fillRect/>
            </a:stretch>
          </xdr:blipFill>
          <xdr:spPr>
            <a:xfrm>
              <a:off x="14857058" y="3264478"/>
              <a:ext cx="3534851" cy="998923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602333</xdr:colOff>
          <xdr:row>13</xdr:row>
          <xdr:rowOff>17319</xdr:rowOff>
        </xdr:from>
        <xdr:to>
          <xdr:col>31</xdr:col>
          <xdr:colOff>364243</xdr:colOff>
          <xdr:row>13</xdr:row>
          <xdr:rowOff>963323</xdr:rowOff>
        </xdr:to>
        <xdr:pic>
          <xdr:nvPicPr>
            <xdr:cNvPr id="11" name="Рисунок 10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2.4" spid="_x0000_s130514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9525" t="1542" r="46025" b="6530"/>
            <a:stretch>
              <a:fillRect/>
            </a:stretch>
          </xdr:blipFill>
          <xdr:spPr>
            <a:xfrm>
              <a:off x="24962521" y="3398694"/>
              <a:ext cx="2333660" cy="946004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26202</xdr:colOff>
          <xdr:row>12</xdr:row>
          <xdr:rowOff>171017</xdr:rowOff>
        </xdr:from>
        <xdr:to>
          <xdr:col>29</xdr:col>
          <xdr:colOff>166688</xdr:colOff>
          <xdr:row>13</xdr:row>
          <xdr:rowOff>962122</xdr:rowOff>
        </xdr:to>
        <xdr:pic>
          <xdr:nvPicPr>
            <xdr:cNvPr id="12" name="Рисунок 11">
              <a:extLst>
                <a:ext uri="{FF2B5EF4-FFF2-40B4-BE49-F238E27FC236}">
                  <a16:creationId xmlns:a16="http://schemas.microsoft.com/office/drawing/2014/main" id="{00000000-0008-0000-0400-00000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2.4" spid="_x0000_s130515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327" t="1335" r="39387" b="2367"/>
            <a:stretch>
              <a:fillRect/>
            </a:stretch>
          </xdr:blipFill>
          <xdr:spPr>
            <a:xfrm>
              <a:off x="21814640" y="3338080"/>
              <a:ext cx="3569486" cy="100541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830210</xdr:colOff>
          <xdr:row>24</xdr:row>
          <xdr:rowOff>381</xdr:rowOff>
        </xdr:from>
        <xdr:to>
          <xdr:col>25</xdr:col>
          <xdr:colOff>718703</xdr:colOff>
          <xdr:row>25</xdr:row>
          <xdr:rowOff>381</xdr:rowOff>
        </xdr:to>
        <xdr:pic>
          <xdr:nvPicPr>
            <xdr:cNvPr id="13" name="Рисунок 12">
              <a:extLst>
                <a:ext uri="{FF2B5EF4-FFF2-40B4-BE49-F238E27FC236}">
                  <a16:creationId xmlns:a16="http://schemas.microsoft.com/office/drawing/2014/main" id="{00000000-0008-0000-0400-00000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Радіатори2" spid="_x0000_s130516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469" t="1430" r="25600" b="2801"/>
            <a:stretch>
              <a:fillRect/>
            </a:stretch>
          </xdr:blipFill>
          <xdr:spPr>
            <a:xfrm>
              <a:off x="18165710" y="6598608"/>
              <a:ext cx="4131448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27081</xdr:colOff>
          <xdr:row>24</xdr:row>
          <xdr:rowOff>11206</xdr:rowOff>
        </xdr:from>
        <xdr:to>
          <xdr:col>20</xdr:col>
          <xdr:colOff>0</xdr:colOff>
          <xdr:row>25</xdr:row>
          <xdr:rowOff>11206</xdr:rowOff>
        </xdr:to>
        <xdr:pic>
          <xdr:nvPicPr>
            <xdr:cNvPr id="14" name="Рисунок 13">
              <a:extLst>
                <a:ext uri="{FF2B5EF4-FFF2-40B4-BE49-F238E27FC236}">
                  <a16:creationId xmlns:a16="http://schemas.microsoft.com/office/drawing/2014/main" id="{00000000-0008-0000-04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Стіни2.2" spid="_x0000_s130517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469" t="1430" r="25600" b="2801"/>
            <a:stretch>
              <a:fillRect/>
            </a:stretch>
          </xdr:blipFill>
          <xdr:spPr>
            <a:xfrm>
              <a:off x="13968217" y="6609433"/>
              <a:ext cx="3367283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35017</xdr:colOff>
          <xdr:row>24</xdr:row>
          <xdr:rowOff>19143</xdr:rowOff>
        </xdr:from>
        <xdr:to>
          <xdr:col>31</xdr:col>
          <xdr:colOff>501645</xdr:colOff>
          <xdr:row>25</xdr:row>
          <xdr:rowOff>19143</xdr:rowOff>
        </xdr:to>
        <xdr:pic>
          <xdr:nvPicPr>
            <xdr:cNvPr id="15" name="Рисунок 14">
              <a:extLst>
                <a:ext uri="{FF2B5EF4-FFF2-40B4-BE49-F238E27FC236}">
                  <a16:creationId xmlns:a16="http://schemas.microsoft.com/office/drawing/2014/main" id="{00000000-0008-0000-0400-00000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Фанкойли2" spid="_x0000_s130518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469" t="1430" r="25600" b="2801"/>
            <a:stretch>
              <a:fillRect/>
            </a:stretch>
          </xdr:blipFill>
          <xdr:spPr>
            <a:xfrm>
              <a:off x="22462062" y="6617370"/>
              <a:ext cx="4709583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 editAs="oneCell">
    <xdr:from>
      <xdr:col>11</xdr:col>
      <xdr:colOff>0</xdr:colOff>
      <xdr:row>0</xdr:row>
      <xdr:rowOff>0</xdr:rowOff>
    </xdr:from>
    <xdr:to>
      <xdr:col>13</xdr:col>
      <xdr:colOff>255814</xdr:colOff>
      <xdr:row>1</xdr:row>
      <xdr:rowOff>149295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86925" y="0"/>
          <a:ext cx="1951264" cy="5493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54429</xdr:colOff>
          <xdr:row>3</xdr:row>
          <xdr:rowOff>68036</xdr:rowOff>
        </xdr:from>
        <xdr:to>
          <xdr:col>1</xdr:col>
          <xdr:colOff>789215</xdr:colOff>
          <xdr:row>3</xdr:row>
          <xdr:rowOff>721177</xdr:rowOff>
        </xdr:to>
        <xdr:pic>
          <xdr:nvPicPr>
            <xdr:cNvPr id="38" name="Рисунок 37">
              <a:extLst>
                <a:ext uri="{FF2B5EF4-FFF2-40B4-BE49-F238E27FC236}">
                  <a16:creationId xmlns:a16="http://schemas.microsoft.com/office/drawing/2014/main" id="{00000000-0008-0000-0400-00002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" spid="_x0000_s130519"/>
                </a:ext>
              </a:extLst>
            </xdr:cNvPicPr>
          </xdr:nvPicPr>
          <xdr:blipFill rotWithShape="1">
            <a:blip xmlns:r="http://schemas.openxmlformats.org/officeDocument/2006/relationships" r:embed="rId6"/>
            <a:srcRect l="1631" t="9160" r="67888" b="4153"/>
            <a:stretch>
              <a:fillRect/>
            </a:stretch>
          </xdr:blipFill>
          <xdr:spPr>
            <a:xfrm>
              <a:off x="1265465" y="911679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68035</xdr:colOff>
          <xdr:row>3</xdr:row>
          <xdr:rowOff>68036</xdr:rowOff>
        </xdr:from>
        <xdr:to>
          <xdr:col>2</xdr:col>
          <xdr:colOff>802821</xdr:colOff>
          <xdr:row>3</xdr:row>
          <xdr:rowOff>721177</xdr:rowOff>
        </xdr:to>
        <xdr:pic>
          <xdr:nvPicPr>
            <xdr:cNvPr id="39" name="Рисунок 38">
              <a:extLst>
                <a:ext uri="{FF2B5EF4-FFF2-40B4-BE49-F238E27FC236}">
                  <a16:creationId xmlns:a16="http://schemas.microsoft.com/office/drawing/2014/main" id="{00000000-0008-0000-0400-000027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2" spid="_x0000_s130520"/>
                </a:ext>
              </a:extLst>
            </xdr:cNvPicPr>
          </xdr:nvPicPr>
          <xdr:blipFill rotWithShape="1">
            <a:blip xmlns:r="http://schemas.openxmlformats.org/officeDocument/2006/relationships" r:embed="rId7"/>
            <a:srcRect l="1631" t="9160" r="67888" b="4153"/>
            <a:stretch>
              <a:fillRect/>
            </a:stretch>
          </xdr:blipFill>
          <xdr:spPr>
            <a:xfrm>
              <a:off x="2122714" y="911679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68036</xdr:colOff>
          <xdr:row>3</xdr:row>
          <xdr:rowOff>81643</xdr:rowOff>
        </xdr:from>
        <xdr:to>
          <xdr:col>3</xdr:col>
          <xdr:colOff>802822</xdr:colOff>
          <xdr:row>3</xdr:row>
          <xdr:rowOff>734784</xdr:rowOff>
        </xdr:to>
        <xdr:pic>
          <xdr:nvPicPr>
            <xdr:cNvPr id="40" name="Рисунок 39">
              <a:extLst>
                <a:ext uri="{FF2B5EF4-FFF2-40B4-BE49-F238E27FC236}">
                  <a16:creationId xmlns:a16="http://schemas.microsoft.com/office/drawing/2014/main" id="{00000000-0008-0000-0400-00002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3" spid="_x0000_s130521"/>
                </a:ext>
              </a:extLst>
            </xdr:cNvPicPr>
          </xdr:nvPicPr>
          <xdr:blipFill rotWithShape="1">
            <a:blip xmlns:r="http://schemas.openxmlformats.org/officeDocument/2006/relationships" r:embed="rId8"/>
            <a:srcRect l="1631" t="9160" r="67888" b="4153"/>
            <a:stretch>
              <a:fillRect/>
            </a:stretch>
          </xdr:blipFill>
          <xdr:spPr>
            <a:xfrm>
              <a:off x="2966357" y="925286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68036</xdr:colOff>
          <xdr:row>3</xdr:row>
          <xdr:rowOff>68036</xdr:rowOff>
        </xdr:from>
        <xdr:to>
          <xdr:col>4</xdr:col>
          <xdr:colOff>802822</xdr:colOff>
          <xdr:row>3</xdr:row>
          <xdr:rowOff>721177</xdr:rowOff>
        </xdr:to>
        <xdr:pic>
          <xdr:nvPicPr>
            <xdr:cNvPr id="41" name="Рисунок 40">
              <a:extLst>
                <a:ext uri="{FF2B5EF4-FFF2-40B4-BE49-F238E27FC236}">
                  <a16:creationId xmlns:a16="http://schemas.microsoft.com/office/drawing/2014/main" id="{00000000-0008-0000-0400-000029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4" spid="_x0000_s130522"/>
                </a:ext>
              </a:extLst>
            </xdr:cNvPicPr>
          </xdr:nvPicPr>
          <xdr:blipFill rotWithShape="1">
            <a:blip xmlns:r="http://schemas.openxmlformats.org/officeDocument/2006/relationships" r:embed="rId9"/>
            <a:srcRect l="1631" t="9160" r="67888" b="4153"/>
            <a:stretch>
              <a:fillRect/>
            </a:stretch>
          </xdr:blipFill>
          <xdr:spPr>
            <a:xfrm>
              <a:off x="3810000" y="911679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68036</xdr:colOff>
          <xdr:row>3</xdr:row>
          <xdr:rowOff>54429</xdr:rowOff>
        </xdr:from>
        <xdr:to>
          <xdr:col>5</xdr:col>
          <xdr:colOff>802822</xdr:colOff>
          <xdr:row>3</xdr:row>
          <xdr:rowOff>707570</xdr:rowOff>
        </xdr:to>
        <xdr:pic>
          <xdr:nvPicPr>
            <xdr:cNvPr id="42" name="Рисунок 41">
              <a:extLst>
                <a:ext uri="{FF2B5EF4-FFF2-40B4-BE49-F238E27FC236}">
                  <a16:creationId xmlns:a16="http://schemas.microsoft.com/office/drawing/2014/main" id="{00000000-0008-0000-0400-00002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5" spid="_x0000_s130523"/>
                </a:ext>
              </a:extLst>
            </xdr:cNvPicPr>
          </xdr:nvPicPr>
          <xdr:blipFill rotWithShape="1">
            <a:blip xmlns:r="http://schemas.openxmlformats.org/officeDocument/2006/relationships" r:embed="rId10"/>
            <a:srcRect l="1631" t="9160" r="67888" b="4153"/>
            <a:stretch>
              <a:fillRect/>
            </a:stretch>
          </xdr:blipFill>
          <xdr:spPr>
            <a:xfrm>
              <a:off x="4653643" y="898072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68036</xdr:colOff>
          <xdr:row>3</xdr:row>
          <xdr:rowOff>54429</xdr:rowOff>
        </xdr:from>
        <xdr:to>
          <xdr:col>6</xdr:col>
          <xdr:colOff>802822</xdr:colOff>
          <xdr:row>3</xdr:row>
          <xdr:rowOff>707570</xdr:rowOff>
        </xdr:to>
        <xdr:pic>
          <xdr:nvPicPr>
            <xdr:cNvPr id="43" name="Рисунок 42">
              <a:extLst>
                <a:ext uri="{FF2B5EF4-FFF2-40B4-BE49-F238E27FC236}">
                  <a16:creationId xmlns:a16="http://schemas.microsoft.com/office/drawing/2014/main" id="{00000000-0008-0000-0400-00002B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6" spid="_x0000_s130524"/>
                </a:ext>
              </a:extLst>
            </xdr:cNvPicPr>
          </xdr:nvPicPr>
          <xdr:blipFill rotWithShape="1">
            <a:blip xmlns:r="http://schemas.openxmlformats.org/officeDocument/2006/relationships" r:embed="rId11"/>
            <a:srcRect l="1631" t="9160" r="67888" b="4153"/>
            <a:stretch>
              <a:fillRect/>
            </a:stretch>
          </xdr:blipFill>
          <xdr:spPr>
            <a:xfrm>
              <a:off x="5497286" y="898072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68036</xdr:colOff>
          <xdr:row>3</xdr:row>
          <xdr:rowOff>68036</xdr:rowOff>
        </xdr:from>
        <xdr:to>
          <xdr:col>7</xdr:col>
          <xdr:colOff>802822</xdr:colOff>
          <xdr:row>3</xdr:row>
          <xdr:rowOff>721177</xdr:rowOff>
        </xdr:to>
        <xdr:pic>
          <xdr:nvPicPr>
            <xdr:cNvPr id="44" name="Рисунок 43">
              <a:extLst>
                <a:ext uri="{FF2B5EF4-FFF2-40B4-BE49-F238E27FC236}">
                  <a16:creationId xmlns:a16="http://schemas.microsoft.com/office/drawing/2014/main" id="{00000000-0008-0000-0400-00002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7" spid="_x0000_s130525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631" t="9160" r="67888" b="4153"/>
            <a:stretch>
              <a:fillRect/>
            </a:stretch>
          </xdr:blipFill>
          <xdr:spPr>
            <a:xfrm>
              <a:off x="6340929" y="911679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68036</xdr:colOff>
          <xdr:row>3</xdr:row>
          <xdr:rowOff>68036</xdr:rowOff>
        </xdr:from>
        <xdr:to>
          <xdr:col>8</xdr:col>
          <xdr:colOff>802822</xdr:colOff>
          <xdr:row>3</xdr:row>
          <xdr:rowOff>721177</xdr:rowOff>
        </xdr:to>
        <xdr:pic>
          <xdr:nvPicPr>
            <xdr:cNvPr id="45" name="Рисунок 44">
              <a:extLst>
                <a:ext uri="{FF2B5EF4-FFF2-40B4-BE49-F238E27FC236}">
                  <a16:creationId xmlns:a16="http://schemas.microsoft.com/office/drawing/2014/main" id="{00000000-0008-0000-0400-00002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8" spid="_x0000_s130526"/>
                </a:ext>
              </a:extLst>
            </xdr:cNvPicPr>
          </xdr:nvPicPr>
          <xdr:blipFill rotWithShape="1">
            <a:blip xmlns:r="http://schemas.openxmlformats.org/officeDocument/2006/relationships" r:embed="rId13"/>
            <a:srcRect l="1631" t="9160" r="67888" b="4153"/>
            <a:stretch>
              <a:fillRect/>
            </a:stretch>
          </xdr:blipFill>
          <xdr:spPr>
            <a:xfrm>
              <a:off x="7184572" y="911679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68035</xdr:colOff>
          <xdr:row>3</xdr:row>
          <xdr:rowOff>68036</xdr:rowOff>
        </xdr:from>
        <xdr:to>
          <xdr:col>9</xdr:col>
          <xdr:colOff>802821</xdr:colOff>
          <xdr:row>3</xdr:row>
          <xdr:rowOff>721177</xdr:rowOff>
        </xdr:to>
        <xdr:pic>
          <xdr:nvPicPr>
            <xdr:cNvPr id="46" name="Рисунок 45">
              <a:extLst>
                <a:ext uri="{FF2B5EF4-FFF2-40B4-BE49-F238E27FC236}">
                  <a16:creationId xmlns:a16="http://schemas.microsoft.com/office/drawing/2014/main" id="{00000000-0008-0000-0400-00002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9" spid="_x0000_s130527"/>
                </a:ext>
              </a:extLst>
            </xdr:cNvPicPr>
          </xdr:nvPicPr>
          <xdr:blipFill rotWithShape="1">
            <a:blip xmlns:r="http://schemas.openxmlformats.org/officeDocument/2006/relationships" r:embed="rId14"/>
            <a:srcRect l="1631" t="9160" r="67888" b="4153"/>
            <a:stretch>
              <a:fillRect/>
            </a:stretch>
          </xdr:blipFill>
          <xdr:spPr>
            <a:xfrm>
              <a:off x="8028214" y="911679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68036</xdr:colOff>
          <xdr:row>3</xdr:row>
          <xdr:rowOff>54429</xdr:rowOff>
        </xdr:from>
        <xdr:to>
          <xdr:col>10</xdr:col>
          <xdr:colOff>802822</xdr:colOff>
          <xdr:row>3</xdr:row>
          <xdr:rowOff>707570</xdr:rowOff>
        </xdr:to>
        <xdr:pic>
          <xdr:nvPicPr>
            <xdr:cNvPr id="47" name="Рисунок 46">
              <a:extLst>
                <a:ext uri="{FF2B5EF4-FFF2-40B4-BE49-F238E27FC236}">
                  <a16:creationId xmlns:a16="http://schemas.microsoft.com/office/drawing/2014/main" id="{00000000-0008-0000-0400-00002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0" spid="_x0000_s130528"/>
                </a:ext>
              </a:extLst>
            </xdr:cNvPicPr>
          </xdr:nvPicPr>
          <xdr:blipFill rotWithShape="1">
            <a:blip xmlns:r="http://schemas.openxmlformats.org/officeDocument/2006/relationships" r:embed="rId15"/>
            <a:srcRect l="1631" t="9160" r="67888" b="4153"/>
            <a:stretch>
              <a:fillRect/>
            </a:stretch>
          </xdr:blipFill>
          <xdr:spPr>
            <a:xfrm>
              <a:off x="8871857" y="898072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54429</xdr:colOff>
          <xdr:row>3</xdr:row>
          <xdr:rowOff>68036</xdr:rowOff>
        </xdr:from>
        <xdr:to>
          <xdr:col>11</xdr:col>
          <xdr:colOff>789215</xdr:colOff>
          <xdr:row>3</xdr:row>
          <xdr:rowOff>721177</xdr:rowOff>
        </xdr:to>
        <xdr:pic>
          <xdr:nvPicPr>
            <xdr:cNvPr id="48" name="Рисунок 47">
              <a:extLst>
                <a:ext uri="{FF2B5EF4-FFF2-40B4-BE49-F238E27FC236}">
                  <a16:creationId xmlns:a16="http://schemas.microsoft.com/office/drawing/2014/main" id="{00000000-0008-0000-0400-00003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1" spid="_x0000_s130529"/>
                </a:ext>
              </a:extLst>
            </xdr:cNvPicPr>
          </xdr:nvPicPr>
          <xdr:blipFill rotWithShape="1">
            <a:blip xmlns:r="http://schemas.openxmlformats.org/officeDocument/2006/relationships" r:embed="rId16"/>
            <a:srcRect l="1631" t="9160" r="67888" b="4153"/>
            <a:stretch>
              <a:fillRect/>
            </a:stretch>
          </xdr:blipFill>
          <xdr:spPr>
            <a:xfrm>
              <a:off x="9701893" y="911679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68036</xdr:colOff>
          <xdr:row>3</xdr:row>
          <xdr:rowOff>68036</xdr:rowOff>
        </xdr:from>
        <xdr:to>
          <xdr:col>12</xdr:col>
          <xdr:colOff>802822</xdr:colOff>
          <xdr:row>3</xdr:row>
          <xdr:rowOff>721177</xdr:rowOff>
        </xdr:to>
        <xdr:pic>
          <xdr:nvPicPr>
            <xdr:cNvPr id="49" name="Рисунок 48">
              <a:extLst>
                <a:ext uri="{FF2B5EF4-FFF2-40B4-BE49-F238E27FC236}">
                  <a16:creationId xmlns:a16="http://schemas.microsoft.com/office/drawing/2014/main" id="{00000000-0008-0000-0400-00003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2" spid="_x0000_s130530"/>
                </a:ext>
              </a:extLst>
            </xdr:cNvPicPr>
          </xdr:nvPicPr>
          <xdr:blipFill rotWithShape="1">
            <a:blip xmlns:r="http://schemas.openxmlformats.org/officeDocument/2006/relationships" r:embed="rId17"/>
            <a:srcRect l="1631" t="9160" r="67888" b="4153"/>
            <a:stretch>
              <a:fillRect/>
            </a:stretch>
          </xdr:blipFill>
          <xdr:spPr>
            <a:xfrm>
              <a:off x="10559143" y="911679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68035</xdr:colOff>
          <xdr:row>3</xdr:row>
          <xdr:rowOff>54429</xdr:rowOff>
        </xdr:from>
        <xdr:to>
          <xdr:col>13</xdr:col>
          <xdr:colOff>802821</xdr:colOff>
          <xdr:row>3</xdr:row>
          <xdr:rowOff>707570</xdr:rowOff>
        </xdr:to>
        <xdr:pic>
          <xdr:nvPicPr>
            <xdr:cNvPr id="50" name="Рисунок 49">
              <a:extLst>
                <a:ext uri="{FF2B5EF4-FFF2-40B4-BE49-F238E27FC236}">
                  <a16:creationId xmlns:a16="http://schemas.microsoft.com/office/drawing/2014/main" id="{00000000-0008-0000-0400-00003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3" spid="_x0000_s130531"/>
                </a:ext>
              </a:extLst>
            </xdr:cNvPicPr>
          </xdr:nvPicPr>
          <xdr:blipFill rotWithShape="1">
            <a:blip xmlns:r="http://schemas.openxmlformats.org/officeDocument/2006/relationships" r:embed="rId18"/>
            <a:srcRect l="1631" t="9160" r="67888" b="4153"/>
            <a:stretch>
              <a:fillRect/>
            </a:stretch>
          </xdr:blipFill>
          <xdr:spPr>
            <a:xfrm>
              <a:off x="11402785" y="898072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54428</xdr:colOff>
          <xdr:row>3</xdr:row>
          <xdr:rowOff>54429</xdr:rowOff>
        </xdr:from>
        <xdr:to>
          <xdr:col>14</xdr:col>
          <xdr:colOff>789214</xdr:colOff>
          <xdr:row>3</xdr:row>
          <xdr:rowOff>707570</xdr:rowOff>
        </xdr:to>
        <xdr:pic>
          <xdr:nvPicPr>
            <xdr:cNvPr id="51" name="Рисунок 50">
              <a:extLst>
                <a:ext uri="{FF2B5EF4-FFF2-40B4-BE49-F238E27FC236}">
                  <a16:creationId xmlns:a16="http://schemas.microsoft.com/office/drawing/2014/main" id="{00000000-0008-0000-0400-00003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4" spid="_x0000_s130532"/>
                </a:ext>
              </a:extLst>
            </xdr:cNvPicPr>
          </xdr:nvPicPr>
          <xdr:blipFill rotWithShape="1">
            <a:blip xmlns:r="http://schemas.openxmlformats.org/officeDocument/2006/relationships" r:embed="rId19"/>
            <a:srcRect l="1631" t="9160" r="67888" b="4153"/>
            <a:stretch>
              <a:fillRect/>
            </a:stretch>
          </xdr:blipFill>
          <xdr:spPr>
            <a:xfrm>
              <a:off x="12232821" y="898072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68035</xdr:colOff>
          <xdr:row>3</xdr:row>
          <xdr:rowOff>54429</xdr:rowOff>
        </xdr:from>
        <xdr:to>
          <xdr:col>15</xdr:col>
          <xdr:colOff>802821</xdr:colOff>
          <xdr:row>3</xdr:row>
          <xdr:rowOff>707570</xdr:rowOff>
        </xdr:to>
        <xdr:pic>
          <xdr:nvPicPr>
            <xdr:cNvPr id="52" name="Рисунок 51">
              <a:extLst>
                <a:ext uri="{FF2B5EF4-FFF2-40B4-BE49-F238E27FC236}">
                  <a16:creationId xmlns:a16="http://schemas.microsoft.com/office/drawing/2014/main" id="{00000000-0008-0000-0400-00003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5" spid="_x0000_s130533"/>
                </a:ext>
              </a:extLst>
            </xdr:cNvPicPr>
          </xdr:nvPicPr>
          <xdr:blipFill rotWithShape="1">
            <a:blip xmlns:r="http://schemas.openxmlformats.org/officeDocument/2006/relationships" r:embed="rId20"/>
            <a:srcRect l="1631" t="9160" r="67888" b="4153"/>
            <a:stretch>
              <a:fillRect/>
            </a:stretch>
          </xdr:blipFill>
          <xdr:spPr>
            <a:xfrm>
              <a:off x="13090071" y="898072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68035</xdr:colOff>
          <xdr:row>3</xdr:row>
          <xdr:rowOff>54429</xdr:rowOff>
        </xdr:from>
        <xdr:to>
          <xdr:col>16</xdr:col>
          <xdr:colOff>802821</xdr:colOff>
          <xdr:row>3</xdr:row>
          <xdr:rowOff>707570</xdr:rowOff>
        </xdr:to>
        <xdr:pic>
          <xdr:nvPicPr>
            <xdr:cNvPr id="53" name="Рисунок 52">
              <a:extLst>
                <a:ext uri="{FF2B5EF4-FFF2-40B4-BE49-F238E27FC236}">
                  <a16:creationId xmlns:a16="http://schemas.microsoft.com/office/drawing/2014/main" id="{00000000-0008-0000-0400-000035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6" spid="_x0000_s130534"/>
                </a:ext>
              </a:extLst>
            </xdr:cNvPicPr>
          </xdr:nvPicPr>
          <xdr:blipFill rotWithShape="1">
            <a:blip xmlns:r="http://schemas.openxmlformats.org/officeDocument/2006/relationships" r:embed="rId21"/>
            <a:srcRect l="1631" t="9160" r="67888" b="4153"/>
            <a:stretch>
              <a:fillRect/>
            </a:stretch>
          </xdr:blipFill>
          <xdr:spPr>
            <a:xfrm>
              <a:off x="13933714" y="898072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54429</xdr:colOff>
          <xdr:row>3</xdr:row>
          <xdr:rowOff>54429</xdr:rowOff>
        </xdr:from>
        <xdr:to>
          <xdr:col>17</xdr:col>
          <xdr:colOff>789215</xdr:colOff>
          <xdr:row>3</xdr:row>
          <xdr:rowOff>707570</xdr:rowOff>
        </xdr:to>
        <xdr:pic>
          <xdr:nvPicPr>
            <xdr:cNvPr id="54" name="Рисунок 53">
              <a:extLst>
                <a:ext uri="{FF2B5EF4-FFF2-40B4-BE49-F238E27FC236}">
                  <a16:creationId xmlns:a16="http://schemas.microsoft.com/office/drawing/2014/main" id="{00000000-0008-0000-0400-00003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7" spid="_x0000_s130535"/>
                </a:ext>
              </a:extLst>
            </xdr:cNvPicPr>
          </xdr:nvPicPr>
          <xdr:blipFill rotWithShape="1">
            <a:blip xmlns:r="http://schemas.openxmlformats.org/officeDocument/2006/relationships" r:embed="rId22"/>
            <a:srcRect l="1631" t="9160" r="67888" b="4153"/>
            <a:stretch>
              <a:fillRect/>
            </a:stretch>
          </xdr:blipFill>
          <xdr:spPr>
            <a:xfrm>
              <a:off x="14763750" y="898072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54429</xdr:colOff>
          <xdr:row>3</xdr:row>
          <xdr:rowOff>54429</xdr:rowOff>
        </xdr:from>
        <xdr:to>
          <xdr:col>18</xdr:col>
          <xdr:colOff>789215</xdr:colOff>
          <xdr:row>3</xdr:row>
          <xdr:rowOff>707570</xdr:rowOff>
        </xdr:to>
        <xdr:pic>
          <xdr:nvPicPr>
            <xdr:cNvPr id="55" name="Рисунок 54">
              <a:extLst>
                <a:ext uri="{FF2B5EF4-FFF2-40B4-BE49-F238E27FC236}">
                  <a16:creationId xmlns:a16="http://schemas.microsoft.com/office/drawing/2014/main" id="{00000000-0008-0000-0400-000037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8" spid="_x0000_s130536"/>
                </a:ext>
              </a:extLst>
            </xdr:cNvPicPr>
          </xdr:nvPicPr>
          <xdr:blipFill rotWithShape="1">
            <a:blip xmlns:r="http://schemas.openxmlformats.org/officeDocument/2006/relationships" r:embed="rId23"/>
            <a:srcRect l="1631" t="9160" r="67888" b="4153"/>
            <a:stretch>
              <a:fillRect/>
            </a:stretch>
          </xdr:blipFill>
          <xdr:spPr>
            <a:xfrm>
              <a:off x="15607393" y="898072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54429</xdr:colOff>
          <xdr:row>3</xdr:row>
          <xdr:rowOff>68036</xdr:rowOff>
        </xdr:from>
        <xdr:to>
          <xdr:col>19</xdr:col>
          <xdr:colOff>789215</xdr:colOff>
          <xdr:row>3</xdr:row>
          <xdr:rowOff>721177</xdr:rowOff>
        </xdr:to>
        <xdr:pic>
          <xdr:nvPicPr>
            <xdr:cNvPr id="56" name="Рисунок 55">
              <a:extLst>
                <a:ext uri="{FF2B5EF4-FFF2-40B4-BE49-F238E27FC236}">
                  <a16:creationId xmlns:a16="http://schemas.microsoft.com/office/drawing/2014/main" id="{00000000-0008-0000-0400-00003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19" spid="_x0000_s130537"/>
                </a:ext>
              </a:extLst>
            </xdr:cNvPicPr>
          </xdr:nvPicPr>
          <xdr:blipFill rotWithShape="1">
            <a:blip xmlns:r="http://schemas.openxmlformats.org/officeDocument/2006/relationships" r:embed="rId24"/>
            <a:srcRect l="1631" t="9160" r="67888" b="4153"/>
            <a:stretch>
              <a:fillRect/>
            </a:stretch>
          </xdr:blipFill>
          <xdr:spPr>
            <a:xfrm>
              <a:off x="16451036" y="911679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68036</xdr:colOff>
          <xdr:row>3</xdr:row>
          <xdr:rowOff>54429</xdr:rowOff>
        </xdr:from>
        <xdr:to>
          <xdr:col>20</xdr:col>
          <xdr:colOff>802822</xdr:colOff>
          <xdr:row>3</xdr:row>
          <xdr:rowOff>707570</xdr:rowOff>
        </xdr:to>
        <xdr:pic>
          <xdr:nvPicPr>
            <xdr:cNvPr id="57" name="Рисунок 56">
              <a:extLst>
                <a:ext uri="{FF2B5EF4-FFF2-40B4-BE49-F238E27FC236}">
                  <a16:creationId xmlns:a16="http://schemas.microsoft.com/office/drawing/2014/main" id="{00000000-0008-0000-0400-000039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2.20" spid="_x0000_s130538"/>
                </a:ext>
              </a:extLst>
            </xdr:cNvPicPr>
          </xdr:nvPicPr>
          <xdr:blipFill rotWithShape="1">
            <a:blip xmlns:r="http://schemas.openxmlformats.org/officeDocument/2006/relationships" r:embed="rId25"/>
            <a:srcRect l="1631" t="9160" r="67888" b="4153"/>
            <a:stretch>
              <a:fillRect/>
            </a:stretch>
          </xdr:blipFill>
          <xdr:spPr>
            <a:xfrm>
              <a:off x="17308286" y="898072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762000</xdr:colOff>
          <xdr:row>7</xdr:row>
          <xdr:rowOff>166688</xdr:rowOff>
        </xdr:from>
        <xdr:to>
          <xdr:col>1</xdr:col>
          <xdr:colOff>614362</xdr:colOff>
          <xdr:row>12</xdr:row>
          <xdr:rowOff>109201</xdr:rowOff>
        </xdr:to>
        <xdr:pic>
          <xdr:nvPicPr>
            <xdr:cNvPr id="58" name="Рисунок 57">
              <a:extLst>
                <a:ext uri="{FF2B5EF4-FFF2-40B4-BE49-F238E27FC236}">
                  <a16:creationId xmlns:a16="http://schemas.microsoft.com/office/drawing/2014/main" id="{00000000-0008-0000-0400-00003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Wi_Fi_2" spid="_x0000_s130539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19412" r="57907"/>
            <a:stretch>
              <a:fillRect/>
            </a:stretch>
          </xdr:blipFill>
          <xdr:spPr>
            <a:xfrm>
              <a:off x="762000" y="2262188"/>
              <a:ext cx="1066800" cy="1014076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155863</xdr:colOff>
          <xdr:row>24</xdr:row>
          <xdr:rowOff>658091</xdr:rowOff>
        </xdr:from>
        <xdr:to>
          <xdr:col>1</xdr:col>
          <xdr:colOff>548069</xdr:colOff>
          <xdr:row>24</xdr:row>
          <xdr:rowOff>1052206</xdr:rowOff>
        </xdr:to>
        <xdr:pic>
          <xdr:nvPicPr>
            <xdr:cNvPr id="59" name="Рисунок 58">
              <a:extLst>
                <a:ext uri="{FF2B5EF4-FFF2-40B4-BE49-F238E27FC236}">
                  <a16:creationId xmlns:a16="http://schemas.microsoft.com/office/drawing/2014/main" id="{00000000-0008-0000-0400-00003B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ActFloor2.1" spid="_x0000_s130540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8000" t="9160" r="76381" b="14943"/>
            <a:stretch>
              <a:fillRect/>
            </a:stretch>
          </xdr:blipFill>
          <xdr:spPr>
            <a:xfrm>
              <a:off x="1368136" y="7256318"/>
              <a:ext cx="392206" cy="39411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51954</xdr:colOff>
          <xdr:row>24</xdr:row>
          <xdr:rowOff>658091</xdr:rowOff>
        </xdr:from>
        <xdr:to>
          <xdr:col>11</xdr:col>
          <xdr:colOff>444160</xdr:colOff>
          <xdr:row>24</xdr:row>
          <xdr:rowOff>1052206</xdr:rowOff>
        </xdr:to>
        <xdr:pic>
          <xdr:nvPicPr>
            <xdr:cNvPr id="60" name="Рисунок 59">
              <a:extLst>
                <a:ext uri="{FF2B5EF4-FFF2-40B4-BE49-F238E27FC236}">
                  <a16:creationId xmlns:a16="http://schemas.microsoft.com/office/drawing/2014/main" id="{00000000-0008-0000-0400-00003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ActFloor2.2" spid="_x0000_s130541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8000" t="9160" r="76381" b="14943"/>
            <a:stretch>
              <a:fillRect/>
            </a:stretch>
          </xdr:blipFill>
          <xdr:spPr>
            <a:xfrm>
              <a:off x="9750136" y="7256318"/>
              <a:ext cx="392206" cy="39411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17318</xdr:colOff>
          <xdr:row>24</xdr:row>
          <xdr:rowOff>588818</xdr:rowOff>
        </xdr:from>
        <xdr:to>
          <xdr:col>21</xdr:col>
          <xdr:colOff>409524</xdr:colOff>
          <xdr:row>24</xdr:row>
          <xdr:rowOff>982933</xdr:rowOff>
        </xdr:to>
        <xdr:pic>
          <xdr:nvPicPr>
            <xdr:cNvPr id="61" name="Рисунок 60">
              <a:extLst>
                <a:ext uri="{FF2B5EF4-FFF2-40B4-BE49-F238E27FC236}">
                  <a16:creationId xmlns:a16="http://schemas.microsoft.com/office/drawing/2014/main" id="{00000000-0008-0000-0400-00003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ActRad2" spid="_x0000_s130542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8000" t="9160" r="76381" b="14943"/>
            <a:stretch>
              <a:fillRect/>
            </a:stretch>
          </xdr:blipFill>
          <xdr:spPr>
            <a:xfrm>
              <a:off x="18201409" y="7187045"/>
              <a:ext cx="392206" cy="394115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665114</xdr:colOff>
          <xdr:row>12</xdr:row>
          <xdr:rowOff>106240</xdr:rowOff>
        </xdr:from>
        <xdr:to>
          <xdr:col>7</xdr:col>
          <xdr:colOff>333374</xdr:colOff>
          <xdr:row>13</xdr:row>
          <xdr:rowOff>902107</xdr:rowOff>
        </xdr:to>
        <xdr:pic>
          <xdr:nvPicPr>
            <xdr:cNvPr id="2" name="Рисунок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3.1" spid="_x0000_s135423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9525" t="1542" r="46025" b="6530"/>
            <a:stretch>
              <a:fillRect/>
            </a:stretch>
          </xdr:blipFill>
          <xdr:spPr>
            <a:xfrm>
              <a:off x="4451302" y="3273303"/>
              <a:ext cx="2240010" cy="1010179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114958</xdr:colOff>
          <xdr:row>12</xdr:row>
          <xdr:rowOff>95251</xdr:rowOff>
        </xdr:from>
        <xdr:to>
          <xdr:col>5</xdr:col>
          <xdr:colOff>261938</xdr:colOff>
          <xdr:row>13</xdr:row>
          <xdr:rowOff>891118</xdr:rowOff>
        </xdr:to>
        <xdr:pic>
          <xdr:nvPicPr>
            <xdr:cNvPr id="3" name="Рисунок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3.1" spid="_x0000_s135424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327" t="1335" r="39387" b="2367"/>
            <a:stretch>
              <a:fillRect/>
            </a:stretch>
          </xdr:blipFill>
          <xdr:spPr>
            <a:xfrm>
              <a:off x="1329396" y="3262314"/>
              <a:ext cx="3575980" cy="1010179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276411</xdr:colOff>
          <xdr:row>24</xdr:row>
          <xdr:rowOff>38287</xdr:rowOff>
        </xdr:from>
        <xdr:to>
          <xdr:col>5</xdr:col>
          <xdr:colOff>785812</xdr:colOff>
          <xdr:row>25</xdr:row>
          <xdr:rowOff>38287</xdr:rowOff>
        </xdr:to>
        <xdr:pic>
          <xdr:nvPicPr>
            <xdr:cNvPr id="4" name="Рисунок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Підлоги3.1" spid="_x0000_s135425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469" t="1430" r="25600" b="2801"/>
            <a:stretch>
              <a:fillRect/>
            </a:stretch>
          </xdr:blipFill>
          <xdr:spPr>
            <a:xfrm>
              <a:off x="1490849" y="6729600"/>
              <a:ext cx="3938401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715140</xdr:colOff>
          <xdr:row>24</xdr:row>
          <xdr:rowOff>28524</xdr:rowOff>
        </xdr:from>
        <xdr:to>
          <xdr:col>10</xdr:col>
          <xdr:colOff>17319</xdr:colOff>
          <xdr:row>25</xdr:row>
          <xdr:rowOff>28524</xdr:rowOff>
        </xdr:to>
        <xdr:pic>
          <xdr:nvPicPr>
            <xdr:cNvPr id="5" name="Рисунок 4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Стіна3.1" spid="_x0000_s135426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469" t="1430" r="25600" b="2801"/>
            <a:stretch>
              <a:fillRect/>
            </a:stretch>
          </xdr:blipFill>
          <xdr:spPr>
            <a:xfrm>
              <a:off x="5321776" y="6626751"/>
              <a:ext cx="3545134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11205</xdr:colOff>
          <xdr:row>24</xdr:row>
          <xdr:rowOff>11206</xdr:rowOff>
        </xdr:from>
        <xdr:to>
          <xdr:col>15</xdr:col>
          <xdr:colOff>23812</xdr:colOff>
          <xdr:row>25</xdr:row>
          <xdr:rowOff>11206</xdr:rowOff>
        </xdr:to>
        <xdr:pic>
          <xdr:nvPicPr>
            <xdr:cNvPr id="6" name="Рисунок 5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Підлоги3.2" spid="_x0000_s135427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469" t="1430" r="25600" b="2801"/>
            <a:stretch>
              <a:fillRect/>
            </a:stretch>
          </xdr:blipFill>
          <xdr:spPr>
            <a:xfrm>
              <a:off x="9798143" y="6702519"/>
              <a:ext cx="3441607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671607</xdr:colOff>
          <xdr:row>12</xdr:row>
          <xdr:rowOff>134381</xdr:rowOff>
        </xdr:from>
        <xdr:to>
          <xdr:col>15</xdr:col>
          <xdr:colOff>380998</xdr:colOff>
          <xdr:row>13</xdr:row>
          <xdr:rowOff>925486</xdr:rowOff>
        </xdr:to>
        <xdr:pic>
          <xdr:nvPicPr>
            <xdr:cNvPr id="7" name="Рисунок 6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3.2" spid="_x0000_s135428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9525" t="1542" r="46025" b="6530"/>
            <a:stretch>
              <a:fillRect/>
            </a:stretch>
          </xdr:blipFill>
          <xdr:spPr>
            <a:xfrm>
              <a:off x="11315795" y="3301444"/>
              <a:ext cx="2281141" cy="100541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2389</xdr:colOff>
          <xdr:row>12</xdr:row>
          <xdr:rowOff>147205</xdr:rowOff>
        </xdr:from>
        <xdr:to>
          <xdr:col>13</xdr:col>
          <xdr:colOff>333375</xdr:colOff>
          <xdr:row>13</xdr:row>
          <xdr:rowOff>938310</xdr:rowOff>
        </xdr:to>
        <xdr:pic>
          <xdr:nvPicPr>
            <xdr:cNvPr id="8" name="Рисунок 7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3.2" spid="_x0000_s135429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327" t="1335" r="39387" b="2367"/>
            <a:stretch>
              <a:fillRect/>
            </a:stretch>
          </xdr:blipFill>
          <xdr:spPr>
            <a:xfrm>
              <a:off x="8074827" y="3314268"/>
              <a:ext cx="3759986" cy="100541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831799</xdr:colOff>
          <xdr:row>12</xdr:row>
          <xdr:rowOff>158194</xdr:rowOff>
        </xdr:from>
        <xdr:to>
          <xdr:col>23</xdr:col>
          <xdr:colOff>380999</xdr:colOff>
          <xdr:row>13</xdr:row>
          <xdr:rowOff>949299</xdr:rowOff>
        </xdr:to>
        <xdr:pic>
          <xdr:nvPicPr>
            <xdr:cNvPr id="9" name="Рисунок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3.3" spid="_x0000_s135430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9525" t="1542" r="46025" b="6530"/>
            <a:stretch>
              <a:fillRect/>
            </a:stretch>
          </xdr:blipFill>
          <xdr:spPr>
            <a:xfrm>
              <a:off x="18333987" y="3325257"/>
              <a:ext cx="2120950" cy="100541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67331</xdr:colOff>
          <xdr:row>12</xdr:row>
          <xdr:rowOff>147205</xdr:rowOff>
        </xdr:from>
        <xdr:to>
          <xdr:col>21</xdr:col>
          <xdr:colOff>333374</xdr:colOff>
          <xdr:row>13</xdr:row>
          <xdr:rowOff>938310</xdr:rowOff>
        </xdr:to>
        <xdr:pic>
          <xdr:nvPicPr>
            <xdr:cNvPr id="10" name="Рисунок 9">
              <a:extLst>
                <a:ext uri="{FF2B5EF4-FFF2-40B4-BE49-F238E27FC236}">
                  <a16:creationId xmlns:a16="http://schemas.microsoft.com/office/drawing/2014/main" id="{00000000-0008-0000-0500-00000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3.3" spid="_x0000_s135431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327" t="1335" r="39387" b="2367"/>
            <a:stretch>
              <a:fillRect/>
            </a:stretch>
          </xdr:blipFill>
          <xdr:spPr>
            <a:xfrm>
              <a:off x="14997769" y="3314268"/>
              <a:ext cx="3695043" cy="100541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93613</xdr:colOff>
          <xdr:row>12</xdr:row>
          <xdr:rowOff>182006</xdr:rowOff>
        </xdr:from>
        <xdr:to>
          <xdr:col>31</xdr:col>
          <xdr:colOff>380999</xdr:colOff>
          <xdr:row>13</xdr:row>
          <xdr:rowOff>973111</xdr:rowOff>
        </xdr:to>
        <xdr:pic>
          <xdr:nvPicPr>
            <xdr:cNvPr id="11" name="Рисунок 10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Розширення3.4" spid="_x0000_s135432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9525" t="1542" r="46025" b="6530"/>
            <a:stretch>
              <a:fillRect/>
            </a:stretch>
          </xdr:blipFill>
          <xdr:spPr>
            <a:xfrm>
              <a:off x="25311051" y="3349069"/>
              <a:ext cx="2001886" cy="100541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26201</xdr:colOff>
          <xdr:row>12</xdr:row>
          <xdr:rowOff>171017</xdr:rowOff>
        </xdr:from>
        <xdr:to>
          <xdr:col>29</xdr:col>
          <xdr:colOff>357187</xdr:colOff>
          <xdr:row>13</xdr:row>
          <xdr:rowOff>962122</xdr:rowOff>
        </xdr:to>
        <xdr:pic>
          <xdr:nvPicPr>
            <xdr:cNvPr id="12" name="Рисунок 11"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нтролер3.4" spid="_x0000_s135433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327" t="1335" r="39387" b="2367"/>
            <a:stretch>
              <a:fillRect/>
            </a:stretch>
          </xdr:blipFill>
          <xdr:spPr>
            <a:xfrm>
              <a:off x="21814639" y="3338080"/>
              <a:ext cx="3759986" cy="1005417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81643</xdr:colOff>
          <xdr:row>24</xdr:row>
          <xdr:rowOff>35018</xdr:rowOff>
        </xdr:from>
        <xdr:to>
          <xdr:col>25</xdr:col>
          <xdr:colOff>425824</xdr:colOff>
          <xdr:row>25</xdr:row>
          <xdr:rowOff>35018</xdr:rowOff>
        </xdr:to>
        <xdr:pic>
          <xdr:nvPicPr>
            <xdr:cNvPr id="13" name="Рисунок 12">
              <a:extLst>
                <a:ext uri="{FF2B5EF4-FFF2-40B4-BE49-F238E27FC236}">
                  <a16:creationId xmlns:a16="http://schemas.microsoft.com/office/drawing/2014/main" id="{00000000-0008-0000-0500-00000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Радіатори3" spid="_x0000_s135434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469" t="1430" r="25600" b="2801"/>
            <a:stretch>
              <a:fillRect/>
            </a:stretch>
          </xdr:blipFill>
          <xdr:spPr>
            <a:xfrm>
              <a:off x="18165536" y="6566447"/>
              <a:ext cx="3718752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27081</xdr:colOff>
          <xdr:row>24</xdr:row>
          <xdr:rowOff>11206</xdr:rowOff>
        </xdr:from>
        <xdr:to>
          <xdr:col>20</xdr:col>
          <xdr:colOff>54429</xdr:colOff>
          <xdr:row>25</xdr:row>
          <xdr:rowOff>11206</xdr:rowOff>
        </xdr:to>
        <xdr:pic>
          <xdr:nvPicPr>
            <xdr:cNvPr id="14" name="Рисунок 13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Стіни3.2" spid="_x0000_s135435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469" t="1430" r="25600" b="2801"/>
            <a:stretch>
              <a:fillRect/>
            </a:stretch>
          </xdr:blipFill>
          <xdr:spPr>
            <a:xfrm>
              <a:off x="13892760" y="6542635"/>
              <a:ext cx="3401919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35018</xdr:colOff>
          <xdr:row>24</xdr:row>
          <xdr:rowOff>19143</xdr:rowOff>
        </xdr:from>
        <xdr:to>
          <xdr:col>30</xdr:col>
          <xdr:colOff>136072</xdr:colOff>
          <xdr:row>25</xdr:row>
          <xdr:rowOff>19143</xdr:rowOff>
        </xdr:to>
        <xdr:pic>
          <xdr:nvPicPr>
            <xdr:cNvPr id="15" name="Рисунок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КолФанкойли3" spid="_x0000_s135436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469" t="1430" r="25600" b="2801"/>
            <a:stretch>
              <a:fillRect/>
            </a:stretch>
          </xdr:blipFill>
          <xdr:spPr>
            <a:xfrm>
              <a:off x="22337125" y="6550572"/>
              <a:ext cx="3475626" cy="1524000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 editAs="oneCell">
    <xdr:from>
      <xdr:col>11</xdr:col>
      <xdr:colOff>0</xdr:colOff>
      <xdr:row>0</xdr:row>
      <xdr:rowOff>19050</xdr:rowOff>
    </xdr:from>
    <xdr:to>
      <xdr:col>13</xdr:col>
      <xdr:colOff>255814</xdr:colOff>
      <xdr:row>1</xdr:row>
      <xdr:rowOff>168345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91700" y="19050"/>
          <a:ext cx="1970314" cy="5493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</xdr:row>
          <xdr:rowOff>71437</xdr:rowOff>
        </xdr:from>
        <xdr:to>
          <xdr:col>1</xdr:col>
          <xdr:colOff>782411</xdr:colOff>
          <xdr:row>3</xdr:row>
          <xdr:rowOff>724578</xdr:rowOff>
        </xdr:to>
        <xdr:pic>
          <xdr:nvPicPr>
            <xdr:cNvPr id="38" name="Рисунок 37">
              <a:extLst>
                <a:ext uri="{FF2B5EF4-FFF2-40B4-BE49-F238E27FC236}">
                  <a16:creationId xmlns:a16="http://schemas.microsoft.com/office/drawing/2014/main" id="{00000000-0008-0000-0500-00002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" spid="_x0000_s135437"/>
                </a:ext>
              </a:extLst>
            </xdr:cNvPicPr>
          </xdr:nvPicPr>
          <xdr:blipFill rotWithShape="1">
            <a:blip xmlns:r="http://schemas.openxmlformats.org/officeDocument/2006/relationships" r:embed="rId3"/>
            <a:srcRect l="1631" t="9160" r="67888" b="4153"/>
            <a:stretch>
              <a:fillRect/>
            </a:stretch>
          </xdr:blipFill>
          <xdr:spPr>
            <a:xfrm>
              <a:off x="1262063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71437</xdr:colOff>
          <xdr:row>3</xdr:row>
          <xdr:rowOff>71437</xdr:rowOff>
        </xdr:from>
        <xdr:to>
          <xdr:col>2</xdr:col>
          <xdr:colOff>806223</xdr:colOff>
          <xdr:row>3</xdr:row>
          <xdr:rowOff>724578</xdr:rowOff>
        </xdr:to>
        <xdr:pic>
          <xdr:nvPicPr>
            <xdr:cNvPr id="39" name="Рисунок 38">
              <a:extLst>
                <a:ext uri="{FF2B5EF4-FFF2-40B4-BE49-F238E27FC236}">
                  <a16:creationId xmlns:a16="http://schemas.microsoft.com/office/drawing/2014/main" id="{00000000-0008-0000-0500-000027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2" spid="_x0000_s135438"/>
                </a:ext>
              </a:extLst>
            </xdr:cNvPicPr>
          </xdr:nvPicPr>
          <xdr:blipFill rotWithShape="1">
            <a:blip xmlns:r="http://schemas.openxmlformats.org/officeDocument/2006/relationships" r:embed="rId4"/>
            <a:srcRect l="1631" t="9160" r="67888" b="4153"/>
            <a:stretch>
              <a:fillRect/>
            </a:stretch>
          </xdr:blipFill>
          <xdr:spPr>
            <a:xfrm>
              <a:off x="214312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</xdr:colOff>
          <xdr:row>3</xdr:row>
          <xdr:rowOff>71437</xdr:rowOff>
        </xdr:from>
        <xdr:to>
          <xdr:col>3</xdr:col>
          <xdr:colOff>806223</xdr:colOff>
          <xdr:row>3</xdr:row>
          <xdr:rowOff>724578</xdr:rowOff>
        </xdr:to>
        <xdr:pic>
          <xdr:nvPicPr>
            <xdr:cNvPr id="40" name="Рисунок 39">
              <a:extLst>
                <a:ext uri="{FF2B5EF4-FFF2-40B4-BE49-F238E27FC236}">
                  <a16:creationId xmlns:a16="http://schemas.microsoft.com/office/drawing/2014/main" id="{00000000-0008-0000-0500-00002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3" spid="_x0000_s135439"/>
                </a:ext>
              </a:extLst>
            </xdr:cNvPicPr>
          </xdr:nvPicPr>
          <xdr:blipFill rotWithShape="1">
            <a:blip xmlns:r="http://schemas.openxmlformats.org/officeDocument/2006/relationships" r:embed="rId5"/>
            <a:srcRect l="1631" t="9160" r="67888" b="4153"/>
            <a:stretch>
              <a:fillRect/>
            </a:stretch>
          </xdr:blipFill>
          <xdr:spPr>
            <a:xfrm>
              <a:off x="300037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71437</xdr:colOff>
          <xdr:row>3</xdr:row>
          <xdr:rowOff>71437</xdr:rowOff>
        </xdr:from>
        <xdr:to>
          <xdr:col>4</xdr:col>
          <xdr:colOff>806223</xdr:colOff>
          <xdr:row>3</xdr:row>
          <xdr:rowOff>724578</xdr:rowOff>
        </xdr:to>
        <xdr:pic>
          <xdr:nvPicPr>
            <xdr:cNvPr id="41" name="Рисунок 40">
              <a:extLst>
                <a:ext uri="{FF2B5EF4-FFF2-40B4-BE49-F238E27FC236}">
                  <a16:creationId xmlns:a16="http://schemas.microsoft.com/office/drawing/2014/main" id="{00000000-0008-0000-0500-000029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4" spid="_x0000_s135440"/>
                </a:ext>
              </a:extLst>
            </xdr:cNvPicPr>
          </xdr:nvPicPr>
          <xdr:blipFill rotWithShape="1">
            <a:blip xmlns:r="http://schemas.openxmlformats.org/officeDocument/2006/relationships" r:embed="rId6"/>
            <a:srcRect l="1631" t="9160" r="67888" b="4153"/>
            <a:stretch>
              <a:fillRect/>
            </a:stretch>
          </xdr:blipFill>
          <xdr:spPr>
            <a:xfrm>
              <a:off x="385762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71437</xdr:colOff>
          <xdr:row>3</xdr:row>
          <xdr:rowOff>71437</xdr:rowOff>
        </xdr:from>
        <xdr:to>
          <xdr:col>5</xdr:col>
          <xdr:colOff>806223</xdr:colOff>
          <xdr:row>3</xdr:row>
          <xdr:rowOff>724578</xdr:rowOff>
        </xdr:to>
        <xdr:pic>
          <xdr:nvPicPr>
            <xdr:cNvPr id="42" name="Рисунок 41">
              <a:extLst>
                <a:ext uri="{FF2B5EF4-FFF2-40B4-BE49-F238E27FC236}">
                  <a16:creationId xmlns:a16="http://schemas.microsoft.com/office/drawing/2014/main" id="{00000000-0008-0000-0500-00002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5" spid="_x0000_s135441"/>
                </a:ext>
              </a:extLst>
            </xdr:cNvPicPr>
          </xdr:nvPicPr>
          <xdr:blipFill rotWithShape="1">
            <a:blip xmlns:r="http://schemas.openxmlformats.org/officeDocument/2006/relationships" r:embed="rId7"/>
            <a:srcRect l="1631" t="9160" r="67888" b="4153"/>
            <a:stretch>
              <a:fillRect/>
            </a:stretch>
          </xdr:blipFill>
          <xdr:spPr>
            <a:xfrm>
              <a:off x="471487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71437</xdr:colOff>
          <xdr:row>3</xdr:row>
          <xdr:rowOff>71437</xdr:rowOff>
        </xdr:from>
        <xdr:to>
          <xdr:col>6</xdr:col>
          <xdr:colOff>806223</xdr:colOff>
          <xdr:row>3</xdr:row>
          <xdr:rowOff>724578</xdr:rowOff>
        </xdr:to>
        <xdr:pic>
          <xdr:nvPicPr>
            <xdr:cNvPr id="43" name="Рисунок 42">
              <a:extLst>
                <a:ext uri="{FF2B5EF4-FFF2-40B4-BE49-F238E27FC236}">
                  <a16:creationId xmlns:a16="http://schemas.microsoft.com/office/drawing/2014/main" id="{00000000-0008-0000-0500-00002B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6" spid="_x0000_s135442"/>
                </a:ext>
              </a:extLst>
            </xdr:cNvPicPr>
          </xdr:nvPicPr>
          <xdr:blipFill rotWithShape="1">
            <a:blip xmlns:r="http://schemas.openxmlformats.org/officeDocument/2006/relationships" r:embed="rId8"/>
            <a:srcRect l="1631" t="9160" r="67888" b="4153"/>
            <a:stretch>
              <a:fillRect/>
            </a:stretch>
          </xdr:blipFill>
          <xdr:spPr>
            <a:xfrm>
              <a:off x="557212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71437</xdr:colOff>
          <xdr:row>3</xdr:row>
          <xdr:rowOff>71437</xdr:rowOff>
        </xdr:from>
        <xdr:to>
          <xdr:col>7</xdr:col>
          <xdr:colOff>806223</xdr:colOff>
          <xdr:row>3</xdr:row>
          <xdr:rowOff>724578</xdr:rowOff>
        </xdr:to>
        <xdr:pic>
          <xdr:nvPicPr>
            <xdr:cNvPr id="44" name="Рисунок 43">
              <a:extLst>
                <a:ext uri="{FF2B5EF4-FFF2-40B4-BE49-F238E27FC236}">
                  <a16:creationId xmlns:a16="http://schemas.microsoft.com/office/drawing/2014/main" id="{00000000-0008-0000-0500-00002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7" spid="_x0000_s135443"/>
                </a:ext>
              </a:extLst>
            </xdr:cNvPicPr>
          </xdr:nvPicPr>
          <xdr:blipFill rotWithShape="1">
            <a:blip xmlns:r="http://schemas.openxmlformats.org/officeDocument/2006/relationships" r:embed="rId9"/>
            <a:srcRect l="1631" t="9160" r="67888" b="4153"/>
            <a:stretch>
              <a:fillRect/>
            </a:stretch>
          </xdr:blipFill>
          <xdr:spPr>
            <a:xfrm>
              <a:off x="642937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71437</xdr:colOff>
          <xdr:row>3</xdr:row>
          <xdr:rowOff>71437</xdr:rowOff>
        </xdr:from>
        <xdr:to>
          <xdr:col>8</xdr:col>
          <xdr:colOff>806223</xdr:colOff>
          <xdr:row>3</xdr:row>
          <xdr:rowOff>724578</xdr:rowOff>
        </xdr:to>
        <xdr:pic>
          <xdr:nvPicPr>
            <xdr:cNvPr id="45" name="Рисунок 44">
              <a:extLst>
                <a:ext uri="{FF2B5EF4-FFF2-40B4-BE49-F238E27FC236}">
                  <a16:creationId xmlns:a16="http://schemas.microsoft.com/office/drawing/2014/main" id="{00000000-0008-0000-0500-00002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8" spid="_x0000_s135444"/>
                </a:ext>
              </a:extLst>
            </xdr:cNvPicPr>
          </xdr:nvPicPr>
          <xdr:blipFill rotWithShape="1">
            <a:blip xmlns:r="http://schemas.openxmlformats.org/officeDocument/2006/relationships" r:embed="rId10"/>
            <a:srcRect l="1631" t="9160" r="67888" b="4153"/>
            <a:stretch>
              <a:fillRect/>
            </a:stretch>
          </xdr:blipFill>
          <xdr:spPr>
            <a:xfrm>
              <a:off x="728662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71437</xdr:colOff>
          <xdr:row>3</xdr:row>
          <xdr:rowOff>71437</xdr:rowOff>
        </xdr:from>
        <xdr:to>
          <xdr:col>9</xdr:col>
          <xdr:colOff>806223</xdr:colOff>
          <xdr:row>3</xdr:row>
          <xdr:rowOff>724578</xdr:rowOff>
        </xdr:to>
        <xdr:pic>
          <xdr:nvPicPr>
            <xdr:cNvPr id="46" name="Рисунок 45">
              <a:extLst>
                <a:ext uri="{FF2B5EF4-FFF2-40B4-BE49-F238E27FC236}">
                  <a16:creationId xmlns:a16="http://schemas.microsoft.com/office/drawing/2014/main" id="{00000000-0008-0000-0500-00002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9" spid="_x0000_s135445"/>
                </a:ext>
              </a:extLst>
            </xdr:cNvPicPr>
          </xdr:nvPicPr>
          <xdr:blipFill rotWithShape="1">
            <a:blip xmlns:r="http://schemas.openxmlformats.org/officeDocument/2006/relationships" r:embed="rId11"/>
            <a:srcRect l="1631" t="9160" r="67888" b="4153"/>
            <a:stretch>
              <a:fillRect/>
            </a:stretch>
          </xdr:blipFill>
          <xdr:spPr>
            <a:xfrm>
              <a:off x="814387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</xdr:colOff>
          <xdr:row>3</xdr:row>
          <xdr:rowOff>71437</xdr:rowOff>
        </xdr:from>
        <xdr:to>
          <xdr:col>10</xdr:col>
          <xdr:colOff>806223</xdr:colOff>
          <xdr:row>3</xdr:row>
          <xdr:rowOff>724578</xdr:rowOff>
        </xdr:to>
        <xdr:pic>
          <xdr:nvPicPr>
            <xdr:cNvPr id="47" name="Рисунок 46">
              <a:extLst>
                <a:ext uri="{FF2B5EF4-FFF2-40B4-BE49-F238E27FC236}">
                  <a16:creationId xmlns:a16="http://schemas.microsoft.com/office/drawing/2014/main" id="{00000000-0008-0000-0500-00002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0" spid="_x0000_s135446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631" t="9160" r="67888" b="4153"/>
            <a:stretch>
              <a:fillRect/>
            </a:stretch>
          </xdr:blipFill>
          <xdr:spPr>
            <a:xfrm>
              <a:off x="900112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71437</xdr:colOff>
          <xdr:row>3</xdr:row>
          <xdr:rowOff>71437</xdr:rowOff>
        </xdr:from>
        <xdr:to>
          <xdr:col>11</xdr:col>
          <xdr:colOff>806223</xdr:colOff>
          <xdr:row>3</xdr:row>
          <xdr:rowOff>724578</xdr:rowOff>
        </xdr:to>
        <xdr:pic>
          <xdr:nvPicPr>
            <xdr:cNvPr id="48" name="Рисунок 47">
              <a:extLst>
                <a:ext uri="{FF2B5EF4-FFF2-40B4-BE49-F238E27FC236}">
                  <a16:creationId xmlns:a16="http://schemas.microsoft.com/office/drawing/2014/main" id="{00000000-0008-0000-0500-00003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1" spid="_x0000_s135447"/>
                </a:ext>
              </a:extLst>
            </xdr:cNvPicPr>
          </xdr:nvPicPr>
          <xdr:blipFill rotWithShape="1">
            <a:blip xmlns:r="http://schemas.openxmlformats.org/officeDocument/2006/relationships" r:embed="rId13"/>
            <a:srcRect l="1631" t="9160" r="67888" b="4153"/>
            <a:stretch>
              <a:fillRect/>
            </a:stretch>
          </xdr:blipFill>
          <xdr:spPr>
            <a:xfrm>
              <a:off x="985837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71437</xdr:colOff>
          <xdr:row>3</xdr:row>
          <xdr:rowOff>71437</xdr:rowOff>
        </xdr:from>
        <xdr:to>
          <xdr:col>12</xdr:col>
          <xdr:colOff>806223</xdr:colOff>
          <xdr:row>3</xdr:row>
          <xdr:rowOff>724578</xdr:rowOff>
        </xdr:to>
        <xdr:pic>
          <xdr:nvPicPr>
            <xdr:cNvPr id="49" name="Рисунок 48">
              <a:extLst>
                <a:ext uri="{FF2B5EF4-FFF2-40B4-BE49-F238E27FC236}">
                  <a16:creationId xmlns:a16="http://schemas.microsoft.com/office/drawing/2014/main" id="{00000000-0008-0000-0500-00003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2" spid="_x0000_s135448"/>
                </a:ext>
              </a:extLst>
            </xdr:cNvPicPr>
          </xdr:nvPicPr>
          <xdr:blipFill rotWithShape="1">
            <a:blip xmlns:r="http://schemas.openxmlformats.org/officeDocument/2006/relationships" r:embed="rId14"/>
            <a:srcRect l="1631" t="9160" r="67888" b="4153"/>
            <a:stretch>
              <a:fillRect/>
            </a:stretch>
          </xdr:blipFill>
          <xdr:spPr>
            <a:xfrm>
              <a:off x="1071562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</xdr:colOff>
          <xdr:row>3</xdr:row>
          <xdr:rowOff>71437</xdr:rowOff>
        </xdr:from>
        <xdr:to>
          <xdr:col>13</xdr:col>
          <xdr:colOff>806223</xdr:colOff>
          <xdr:row>3</xdr:row>
          <xdr:rowOff>724578</xdr:rowOff>
        </xdr:to>
        <xdr:pic>
          <xdr:nvPicPr>
            <xdr:cNvPr id="50" name="Рисунок 49">
              <a:extLst>
                <a:ext uri="{FF2B5EF4-FFF2-40B4-BE49-F238E27FC236}">
                  <a16:creationId xmlns:a16="http://schemas.microsoft.com/office/drawing/2014/main" id="{00000000-0008-0000-0500-00003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3" spid="_x0000_s135449"/>
                </a:ext>
              </a:extLst>
            </xdr:cNvPicPr>
          </xdr:nvPicPr>
          <xdr:blipFill rotWithShape="1">
            <a:blip xmlns:r="http://schemas.openxmlformats.org/officeDocument/2006/relationships" r:embed="rId15"/>
            <a:srcRect l="1631" t="9160" r="67888" b="4153"/>
            <a:stretch>
              <a:fillRect/>
            </a:stretch>
          </xdr:blipFill>
          <xdr:spPr>
            <a:xfrm>
              <a:off x="1157287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71437</xdr:colOff>
          <xdr:row>3</xdr:row>
          <xdr:rowOff>71437</xdr:rowOff>
        </xdr:from>
        <xdr:to>
          <xdr:col>14</xdr:col>
          <xdr:colOff>806223</xdr:colOff>
          <xdr:row>3</xdr:row>
          <xdr:rowOff>724578</xdr:rowOff>
        </xdr:to>
        <xdr:pic>
          <xdr:nvPicPr>
            <xdr:cNvPr id="51" name="Рисунок 50">
              <a:extLst>
                <a:ext uri="{FF2B5EF4-FFF2-40B4-BE49-F238E27FC236}">
                  <a16:creationId xmlns:a16="http://schemas.microsoft.com/office/drawing/2014/main" id="{00000000-0008-0000-0500-00003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4" spid="_x0000_s135450"/>
                </a:ext>
              </a:extLst>
            </xdr:cNvPicPr>
          </xdr:nvPicPr>
          <xdr:blipFill rotWithShape="1">
            <a:blip xmlns:r="http://schemas.openxmlformats.org/officeDocument/2006/relationships" r:embed="rId16"/>
            <a:srcRect l="1631" t="9160" r="67888" b="4153"/>
            <a:stretch>
              <a:fillRect/>
            </a:stretch>
          </xdr:blipFill>
          <xdr:spPr>
            <a:xfrm>
              <a:off x="1243012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71437</xdr:colOff>
          <xdr:row>3</xdr:row>
          <xdr:rowOff>71437</xdr:rowOff>
        </xdr:from>
        <xdr:to>
          <xdr:col>15</xdr:col>
          <xdr:colOff>806223</xdr:colOff>
          <xdr:row>3</xdr:row>
          <xdr:rowOff>724578</xdr:rowOff>
        </xdr:to>
        <xdr:pic>
          <xdr:nvPicPr>
            <xdr:cNvPr id="52" name="Рисунок 51">
              <a:extLst>
                <a:ext uri="{FF2B5EF4-FFF2-40B4-BE49-F238E27FC236}">
                  <a16:creationId xmlns:a16="http://schemas.microsoft.com/office/drawing/2014/main" id="{00000000-0008-0000-0500-00003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5" spid="_x0000_s135451"/>
                </a:ext>
              </a:extLst>
            </xdr:cNvPicPr>
          </xdr:nvPicPr>
          <xdr:blipFill rotWithShape="1">
            <a:blip xmlns:r="http://schemas.openxmlformats.org/officeDocument/2006/relationships" r:embed="rId17"/>
            <a:srcRect l="1631" t="9160" r="67888" b="4153"/>
            <a:stretch>
              <a:fillRect/>
            </a:stretch>
          </xdr:blipFill>
          <xdr:spPr>
            <a:xfrm>
              <a:off x="1328737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71437</xdr:colOff>
          <xdr:row>3</xdr:row>
          <xdr:rowOff>71437</xdr:rowOff>
        </xdr:from>
        <xdr:to>
          <xdr:col>16</xdr:col>
          <xdr:colOff>806223</xdr:colOff>
          <xdr:row>3</xdr:row>
          <xdr:rowOff>724578</xdr:rowOff>
        </xdr:to>
        <xdr:pic>
          <xdr:nvPicPr>
            <xdr:cNvPr id="53" name="Рисунок 52">
              <a:extLst>
                <a:ext uri="{FF2B5EF4-FFF2-40B4-BE49-F238E27FC236}">
                  <a16:creationId xmlns:a16="http://schemas.microsoft.com/office/drawing/2014/main" id="{00000000-0008-0000-0500-000035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6" spid="_x0000_s135452"/>
                </a:ext>
              </a:extLst>
            </xdr:cNvPicPr>
          </xdr:nvPicPr>
          <xdr:blipFill rotWithShape="1">
            <a:blip xmlns:r="http://schemas.openxmlformats.org/officeDocument/2006/relationships" r:embed="rId18"/>
            <a:srcRect l="1631" t="9160" r="67888" b="4153"/>
            <a:stretch>
              <a:fillRect/>
            </a:stretch>
          </xdr:blipFill>
          <xdr:spPr>
            <a:xfrm>
              <a:off x="1414462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71437</xdr:colOff>
          <xdr:row>3</xdr:row>
          <xdr:rowOff>71437</xdr:rowOff>
        </xdr:from>
        <xdr:to>
          <xdr:col>17</xdr:col>
          <xdr:colOff>806223</xdr:colOff>
          <xdr:row>3</xdr:row>
          <xdr:rowOff>724578</xdr:rowOff>
        </xdr:to>
        <xdr:pic>
          <xdr:nvPicPr>
            <xdr:cNvPr id="54" name="Рисунок 53">
              <a:extLst>
                <a:ext uri="{FF2B5EF4-FFF2-40B4-BE49-F238E27FC236}">
                  <a16:creationId xmlns:a16="http://schemas.microsoft.com/office/drawing/2014/main" id="{00000000-0008-0000-0500-00003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7" spid="_x0000_s135453"/>
                </a:ext>
              </a:extLst>
            </xdr:cNvPicPr>
          </xdr:nvPicPr>
          <xdr:blipFill rotWithShape="1">
            <a:blip xmlns:r="http://schemas.openxmlformats.org/officeDocument/2006/relationships" r:embed="rId19"/>
            <a:srcRect l="1631" t="9160" r="67888" b="4153"/>
            <a:stretch>
              <a:fillRect/>
            </a:stretch>
          </xdr:blipFill>
          <xdr:spPr>
            <a:xfrm>
              <a:off x="1500187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71437</xdr:colOff>
          <xdr:row>3</xdr:row>
          <xdr:rowOff>71437</xdr:rowOff>
        </xdr:from>
        <xdr:to>
          <xdr:col>18</xdr:col>
          <xdr:colOff>806223</xdr:colOff>
          <xdr:row>3</xdr:row>
          <xdr:rowOff>724578</xdr:rowOff>
        </xdr:to>
        <xdr:pic>
          <xdr:nvPicPr>
            <xdr:cNvPr id="55" name="Рисунок 54">
              <a:extLst>
                <a:ext uri="{FF2B5EF4-FFF2-40B4-BE49-F238E27FC236}">
                  <a16:creationId xmlns:a16="http://schemas.microsoft.com/office/drawing/2014/main" id="{00000000-0008-0000-0500-000037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8" spid="_x0000_s135454"/>
                </a:ext>
              </a:extLst>
            </xdr:cNvPicPr>
          </xdr:nvPicPr>
          <xdr:blipFill rotWithShape="1">
            <a:blip xmlns:r="http://schemas.openxmlformats.org/officeDocument/2006/relationships" r:embed="rId20"/>
            <a:srcRect l="1631" t="9160" r="67888" b="4153"/>
            <a:stretch>
              <a:fillRect/>
            </a:stretch>
          </xdr:blipFill>
          <xdr:spPr>
            <a:xfrm>
              <a:off x="1585912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71437</xdr:colOff>
          <xdr:row>3</xdr:row>
          <xdr:rowOff>71437</xdr:rowOff>
        </xdr:from>
        <xdr:to>
          <xdr:col>19</xdr:col>
          <xdr:colOff>806223</xdr:colOff>
          <xdr:row>3</xdr:row>
          <xdr:rowOff>724578</xdr:rowOff>
        </xdr:to>
        <xdr:pic>
          <xdr:nvPicPr>
            <xdr:cNvPr id="56" name="Рисунок 55">
              <a:extLst>
                <a:ext uri="{FF2B5EF4-FFF2-40B4-BE49-F238E27FC236}">
                  <a16:creationId xmlns:a16="http://schemas.microsoft.com/office/drawing/2014/main" id="{00000000-0008-0000-0500-00003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19" spid="_x0000_s135455"/>
                </a:ext>
              </a:extLst>
            </xdr:cNvPicPr>
          </xdr:nvPicPr>
          <xdr:blipFill rotWithShape="1">
            <a:blip xmlns:r="http://schemas.openxmlformats.org/officeDocument/2006/relationships" r:embed="rId21"/>
            <a:srcRect l="1631" t="9160" r="67888" b="4153"/>
            <a:stretch>
              <a:fillRect/>
            </a:stretch>
          </xdr:blipFill>
          <xdr:spPr>
            <a:xfrm>
              <a:off x="1671637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71437</xdr:colOff>
          <xdr:row>3</xdr:row>
          <xdr:rowOff>71437</xdr:rowOff>
        </xdr:from>
        <xdr:to>
          <xdr:col>20</xdr:col>
          <xdr:colOff>806223</xdr:colOff>
          <xdr:row>3</xdr:row>
          <xdr:rowOff>724578</xdr:rowOff>
        </xdr:to>
        <xdr:pic>
          <xdr:nvPicPr>
            <xdr:cNvPr id="57" name="Рисунок 56">
              <a:extLst>
                <a:ext uri="{FF2B5EF4-FFF2-40B4-BE49-F238E27FC236}">
                  <a16:creationId xmlns:a16="http://schemas.microsoft.com/office/drawing/2014/main" id="{00000000-0008-0000-0500-000039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T3.20" spid="_x0000_s135456"/>
                </a:ext>
              </a:extLst>
            </xdr:cNvPicPr>
          </xdr:nvPicPr>
          <xdr:blipFill rotWithShape="1">
            <a:blip xmlns:r="http://schemas.openxmlformats.org/officeDocument/2006/relationships" r:embed="rId22"/>
            <a:srcRect l="1631" t="9160" r="67888" b="4153"/>
            <a:stretch>
              <a:fillRect/>
            </a:stretch>
          </xdr:blipFill>
          <xdr:spPr>
            <a:xfrm>
              <a:off x="17573625" y="928687"/>
              <a:ext cx="734786" cy="65314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714375</xdr:colOff>
          <xdr:row>8</xdr:row>
          <xdr:rowOff>-1</xdr:rowOff>
        </xdr:from>
        <xdr:to>
          <xdr:col>1</xdr:col>
          <xdr:colOff>563335</xdr:colOff>
          <xdr:row>12</xdr:row>
          <xdr:rowOff>105797</xdr:rowOff>
        </xdr:to>
        <xdr:pic>
          <xdr:nvPicPr>
            <xdr:cNvPr id="58" name="Рисунок 57">
              <a:extLst>
                <a:ext uri="{FF2B5EF4-FFF2-40B4-BE49-F238E27FC236}">
                  <a16:creationId xmlns:a16="http://schemas.microsoft.com/office/drawing/2014/main" id="{00000000-0008-0000-0500-00003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Wi_Fi_3" spid="_x0000_s135457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19412" r="57907"/>
            <a:stretch>
              <a:fillRect/>
            </a:stretch>
          </xdr:blipFill>
          <xdr:spPr>
            <a:xfrm>
              <a:off x="714375" y="2309812"/>
              <a:ext cx="1063398" cy="96304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168089</xdr:colOff>
          <xdr:row>24</xdr:row>
          <xdr:rowOff>648032</xdr:rowOff>
        </xdr:from>
        <xdr:to>
          <xdr:col>1</xdr:col>
          <xdr:colOff>560295</xdr:colOff>
          <xdr:row>24</xdr:row>
          <xdr:rowOff>1042147</xdr:rowOff>
        </xdr:to>
        <xdr:pic>
          <xdr:nvPicPr>
            <xdr:cNvPr id="59" name="Рисунок 58">
              <a:extLst>
                <a:ext uri="{FF2B5EF4-FFF2-40B4-BE49-F238E27FC236}">
                  <a16:creationId xmlns:a16="http://schemas.microsoft.com/office/drawing/2014/main" id="{00000000-0008-0000-0500-00003B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ActFloor3.1" spid="_x0000_s135458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8000" t="9160" r="76381" b="14943"/>
            <a:stretch>
              <a:fillRect/>
            </a:stretch>
          </xdr:blipFill>
          <xdr:spPr>
            <a:xfrm>
              <a:off x="1378324" y="7337944"/>
              <a:ext cx="392206" cy="39411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22412</xdr:colOff>
          <xdr:row>24</xdr:row>
          <xdr:rowOff>636826</xdr:rowOff>
        </xdr:from>
        <xdr:to>
          <xdr:col>11</xdr:col>
          <xdr:colOff>414618</xdr:colOff>
          <xdr:row>24</xdr:row>
          <xdr:rowOff>1030941</xdr:rowOff>
        </xdr:to>
        <xdr:pic>
          <xdr:nvPicPr>
            <xdr:cNvPr id="60" name="Рисунок 59">
              <a:extLst>
                <a:ext uri="{FF2B5EF4-FFF2-40B4-BE49-F238E27FC236}">
                  <a16:creationId xmlns:a16="http://schemas.microsoft.com/office/drawing/2014/main" id="{00000000-0008-0000-0500-00003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ActFloor3.2" spid="_x0000_s135459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8000" t="9160" r="76381" b="14943"/>
            <a:stretch>
              <a:fillRect/>
            </a:stretch>
          </xdr:blipFill>
          <xdr:spPr>
            <a:xfrm>
              <a:off x="9749118" y="7326738"/>
              <a:ext cx="392206" cy="39411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22412</xdr:colOff>
          <xdr:row>24</xdr:row>
          <xdr:rowOff>664040</xdr:rowOff>
        </xdr:from>
        <xdr:to>
          <xdr:col>21</xdr:col>
          <xdr:colOff>414618</xdr:colOff>
          <xdr:row>24</xdr:row>
          <xdr:rowOff>1058155</xdr:rowOff>
        </xdr:to>
        <xdr:pic>
          <xdr:nvPicPr>
            <xdr:cNvPr id="61" name="Рисунок 60">
              <a:extLst>
                <a:ext uri="{FF2B5EF4-FFF2-40B4-BE49-F238E27FC236}">
                  <a16:creationId xmlns:a16="http://schemas.microsoft.com/office/drawing/2014/main" id="{00000000-0008-0000-0500-00003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ActRad3" spid="_x0000_s135460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8000" t="9160" r="76381" b="14943"/>
            <a:stretch>
              <a:fillRect/>
            </a:stretch>
          </xdr:blipFill>
          <xdr:spPr>
            <a:xfrm>
              <a:off x="18106305" y="7195469"/>
              <a:ext cx="392206" cy="39411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12</xdr:row>
          <xdr:rowOff>104775</xdr:rowOff>
        </xdr:from>
        <xdr:to>
          <xdr:col>7</xdr:col>
          <xdr:colOff>333375</xdr:colOff>
          <xdr:row>13</xdr:row>
          <xdr:rowOff>904875</xdr:rowOff>
        </xdr:to>
        <xdr:pic>
          <xdr:nvPicPr>
            <xdr:cNvPr id="66898" name="Рисунок 1">
              <a:extLst>
                <a:ext uri="{FF2B5EF4-FFF2-40B4-BE49-F238E27FC236}">
                  <a16:creationId xmlns:a16="http://schemas.microsoft.com/office/drawing/2014/main" id="{5C79A72E-2C97-4A0E-8DF8-F5EF6F62C6B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Розширення3.1" spid="_x0000_s135461"/>
                </a:ext>
              </a:extLst>
            </xdr:cNvPicPr>
          </xdr:nvPicPr>
          <xdr:blipFill>
            <a:blip xmlns:r="http://schemas.openxmlformats.org/officeDocument/2006/relationships" r:embed="rId1"/>
            <a:srcRect l="9525" t="1543" r="46025" b="6531"/>
            <a:stretch>
              <a:fillRect/>
            </a:stretch>
          </xdr:blipFill>
          <xdr:spPr bwMode="auto">
            <a:xfrm>
              <a:off x="4419600" y="3238500"/>
              <a:ext cx="2209800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12</xdr:row>
          <xdr:rowOff>95250</xdr:rowOff>
        </xdr:from>
        <xdr:to>
          <xdr:col>5</xdr:col>
          <xdr:colOff>266700</xdr:colOff>
          <xdr:row>13</xdr:row>
          <xdr:rowOff>895350</xdr:rowOff>
        </xdr:to>
        <xdr:pic>
          <xdr:nvPicPr>
            <xdr:cNvPr id="66899" name="Рисунок 2">
              <a:extLst>
                <a:ext uri="{FF2B5EF4-FFF2-40B4-BE49-F238E27FC236}">
                  <a16:creationId xmlns:a16="http://schemas.microsoft.com/office/drawing/2014/main" id="{F82748B0-B3EA-40C1-9E5B-B6F2D78C157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нтролер3.1" spid="_x0000_s135462"/>
                </a:ext>
              </a:extLst>
            </xdr:cNvPicPr>
          </xdr:nvPicPr>
          <xdr:blipFill>
            <a:blip xmlns:r="http://schemas.openxmlformats.org/officeDocument/2006/relationships" r:embed="rId1"/>
            <a:srcRect l="327" t="1335" r="39388" b="2367"/>
            <a:stretch>
              <a:fillRect/>
            </a:stretch>
          </xdr:blipFill>
          <xdr:spPr bwMode="auto">
            <a:xfrm>
              <a:off x="1323975" y="3228975"/>
              <a:ext cx="3543300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24</xdr:row>
          <xdr:rowOff>38100</xdr:rowOff>
        </xdr:from>
        <xdr:to>
          <xdr:col>5</xdr:col>
          <xdr:colOff>781050</xdr:colOff>
          <xdr:row>25</xdr:row>
          <xdr:rowOff>38100</xdr:rowOff>
        </xdr:to>
        <xdr:pic>
          <xdr:nvPicPr>
            <xdr:cNvPr id="66900" name="Рисунок 3">
              <a:extLst>
                <a:ext uri="{FF2B5EF4-FFF2-40B4-BE49-F238E27FC236}">
                  <a16:creationId xmlns:a16="http://schemas.microsoft.com/office/drawing/2014/main" id="{E52C9FA4-4FB6-440A-A203-5D51ACCFE32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лПідлоги3.1" spid="_x0000_s135463"/>
                </a:ext>
              </a:extLst>
            </xdr:cNvPicPr>
          </xdr:nvPicPr>
          <xdr:blipFill>
            <a:blip xmlns:r="http://schemas.openxmlformats.org/officeDocument/2006/relationships" r:embed="rId1"/>
            <a:srcRect l="468" t="1430" r="25600" b="2802"/>
            <a:stretch>
              <a:fillRect/>
            </a:stretch>
          </xdr:blipFill>
          <xdr:spPr bwMode="auto">
            <a:xfrm>
              <a:off x="1485900" y="6667500"/>
              <a:ext cx="3895725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714375</xdr:colOff>
          <xdr:row>24</xdr:row>
          <xdr:rowOff>28575</xdr:rowOff>
        </xdr:from>
        <xdr:to>
          <xdr:col>10</xdr:col>
          <xdr:colOff>19050</xdr:colOff>
          <xdr:row>25</xdr:row>
          <xdr:rowOff>28575</xdr:rowOff>
        </xdr:to>
        <xdr:pic>
          <xdr:nvPicPr>
            <xdr:cNvPr id="66901" name="Рисунок 4">
              <a:extLst>
                <a:ext uri="{FF2B5EF4-FFF2-40B4-BE49-F238E27FC236}">
                  <a16:creationId xmlns:a16="http://schemas.microsoft.com/office/drawing/2014/main" id="{9D33BDE2-367C-4AB2-A1CB-BDA7E3DF09A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лСтіна3.1" spid="_x0000_s135464"/>
                </a:ext>
              </a:extLst>
            </xdr:cNvPicPr>
          </xdr:nvPicPr>
          <xdr:blipFill>
            <a:blip xmlns:r="http://schemas.openxmlformats.org/officeDocument/2006/relationships" r:embed="rId1"/>
            <a:srcRect l="468" t="1430" r="25600" b="2802"/>
            <a:stretch>
              <a:fillRect/>
            </a:stretch>
          </xdr:blipFill>
          <xdr:spPr bwMode="auto">
            <a:xfrm>
              <a:off x="5314950" y="6657975"/>
              <a:ext cx="3543300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24</xdr:row>
          <xdr:rowOff>9525</xdr:rowOff>
        </xdr:from>
        <xdr:to>
          <xdr:col>15</xdr:col>
          <xdr:colOff>19050</xdr:colOff>
          <xdr:row>25</xdr:row>
          <xdr:rowOff>9525</xdr:rowOff>
        </xdr:to>
        <xdr:pic>
          <xdr:nvPicPr>
            <xdr:cNvPr id="66902" name="Рисунок 5">
              <a:extLst>
                <a:ext uri="{FF2B5EF4-FFF2-40B4-BE49-F238E27FC236}">
                  <a16:creationId xmlns:a16="http://schemas.microsoft.com/office/drawing/2014/main" id="{5FB941AD-D357-4F84-9985-851FB6F24B8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лПідлоги3.2" spid="_x0000_s135465"/>
                </a:ext>
              </a:extLst>
            </xdr:cNvPicPr>
          </xdr:nvPicPr>
          <xdr:blipFill>
            <a:blip xmlns:r="http://schemas.openxmlformats.org/officeDocument/2006/relationships" r:embed="rId1"/>
            <a:srcRect l="468" t="1430" r="25600" b="2802"/>
            <a:stretch>
              <a:fillRect/>
            </a:stretch>
          </xdr:blipFill>
          <xdr:spPr bwMode="auto">
            <a:xfrm>
              <a:off x="9696450" y="6638925"/>
              <a:ext cx="3400425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676275</xdr:colOff>
          <xdr:row>12</xdr:row>
          <xdr:rowOff>133350</xdr:rowOff>
        </xdr:from>
        <xdr:to>
          <xdr:col>15</xdr:col>
          <xdr:colOff>381000</xdr:colOff>
          <xdr:row>13</xdr:row>
          <xdr:rowOff>923925</xdr:rowOff>
        </xdr:to>
        <xdr:pic>
          <xdr:nvPicPr>
            <xdr:cNvPr id="66903" name="Рисунок 6">
              <a:extLst>
                <a:ext uri="{FF2B5EF4-FFF2-40B4-BE49-F238E27FC236}">
                  <a16:creationId xmlns:a16="http://schemas.microsoft.com/office/drawing/2014/main" id="{FB1C9FF5-718E-4481-9CB9-AA2B93ED60F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Розширення3.2" spid="_x0000_s135466"/>
                </a:ext>
              </a:extLst>
            </xdr:cNvPicPr>
          </xdr:nvPicPr>
          <xdr:blipFill>
            <a:blip xmlns:r="http://schemas.openxmlformats.org/officeDocument/2006/relationships" r:embed="rId1"/>
            <a:srcRect l="9525" t="1543" r="46025" b="6531"/>
            <a:stretch>
              <a:fillRect/>
            </a:stretch>
          </xdr:blipFill>
          <xdr:spPr bwMode="auto">
            <a:xfrm>
              <a:off x="11210925" y="3267075"/>
              <a:ext cx="2247900" cy="1000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142875</xdr:rowOff>
        </xdr:from>
        <xdr:to>
          <xdr:col>13</xdr:col>
          <xdr:colOff>333375</xdr:colOff>
          <xdr:row>13</xdr:row>
          <xdr:rowOff>942975</xdr:rowOff>
        </xdr:to>
        <xdr:pic>
          <xdr:nvPicPr>
            <xdr:cNvPr id="66904" name="Рисунок 7">
              <a:extLst>
                <a:ext uri="{FF2B5EF4-FFF2-40B4-BE49-F238E27FC236}">
                  <a16:creationId xmlns:a16="http://schemas.microsoft.com/office/drawing/2014/main" id="{09E09F3D-7C00-445B-B544-74B9AC7674C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нтролер3.2" spid="_x0000_s135467"/>
                </a:ext>
              </a:extLst>
            </xdr:cNvPicPr>
          </xdr:nvPicPr>
          <xdr:blipFill>
            <a:blip xmlns:r="http://schemas.openxmlformats.org/officeDocument/2006/relationships" r:embed="rId1"/>
            <a:srcRect l="327" t="1335" r="39388" b="2367"/>
            <a:stretch>
              <a:fillRect/>
            </a:stretch>
          </xdr:blipFill>
          <xdr:spPr bwMode="auto">
            <a:xfrm>
              <a:off x="7991475" y="3276600"/>
              <a:ext cx="372427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828675</xdr:colOff>
          <xdr:row>12</xdr:row>
          <xdr:rowOff>161925</xdr:rowOff>
        </xdr:from>
        <xdr:to>
          <xdr:col>23</xdr:col>
          <xdr:colOff>381000</xdr:colOff>
          <xdr:row>13</xdr:row>
          <xdr:rowOff>952500</xdr:rowOff>
        </xdr:to>
        <xdr:pic>
          <xdr:nvPicPr>
            <xdr:cNvPr id="66905" name="Рисунок 8">
              <a:extLst>
                <a:ext uri="{FF2B5EF4-FFF2-40B4-BE49-F238E27FC236}">
                  <a16:creationId xmlns:a16="http://schemas.microsoft.com/office/drawing/2014/main" id="{E26BD4BF-7CA2-4458-8219-117F1805729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Розширення3.3" spid="_x0000_s135468"/>
                </a:ext>
              </a:extLst>
            </xdr:cNvPicPr>
          </xdr:nvPicPr>
          <xdr:blipFill>
            <a:blip xmlns:r="http://schemas.openxmlformats.org/officeDocument/2006/relationships" r:embed="rId1"/>
            <a:srcRect l="9525" t="1543" r="46025" b="6531"/>
            <a:stretch>
              <a:fillRect/>
            </a:stretch>
          </xdr:blipFill>
          <xdr:spPr bwMode="auto">
            <a:xfrm>
              <a:off x="18145125" y="3295650"/>
              <a:ext cx="2095500" cy="1000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12</xdr:row>
          <xdr:rowOff>142875</xdr:rowOff>
        </xdr:from>
        <xdr:to>
          <xdr:col>21</xdr:col>
          <xdr:colOff>333375</xdr:colOff>
          <xdr:row>13</xdr:row>
          <xdr:rowOff>942975</xdr:rowOff>
        </xdr:to>
        <xdr:pic>
          <xdr:nvPicPr>
            <xdr:cNvPr id="66906" name="Рисунок 9">
              <a:extLst>
                <a:ext uri="{FF2B5EF4-FFF2-40B4-BE49-F238E27FC236}">
                  <a16:creationId xmlns:a16="http://schemas.microsoft.com/office/drawing/2014/main" id="{4CAF6CD8-D992-4A7F-A3CE-22E960E2FEC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нтролер3.3" spid="_x0000_s135469"/>
                </a:ext>
              </a:extLst>
            </xdr:cNvPicPr>
          </xdr:nvPicPr>
          <xdr:blipFill>
            <a:blip xmlns:r="http://schemas.openxmlformats.org/officeDocument/2006/relationships" r:embed="rId1"/>
            <a:srcRect l="327" t="1335" r="39388" b="2367"/>
            <a:stretch>
              <a:fillRect/>
            </a:stretch>
          </xdr:blipFill>
          <xdr:spPr bwMode="auto">
            <a:xfrm>
              <a:off x="14839950" y="3276600"/>
              <a:ext cx="3657600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95250</xdr:colOff>
          <xdr:row>12</xdr:row>
          <xdr:rowOff>180975</xdr:rowOff>
        </xdr:from>
        <xdr:to>
          <xdr:col>31</xdr:col>
          <xdr:colOff>381000</xdr:colOff>
          <xdr:row>13</xdr:row>
          <xdr:rowOff>971550</xdr:rowOff>
        </xdr:to>
        <xdr:pic>
          <xdr:nvPicPr>
            <xdr:cNvPr id="66907" name="Рисунок 10">
              <a:extLst>
                <a:ext uri="{FF2B5EF4-FFF2-40B4-BE49-F238E27FC236}">
                  <a16:creationId xmlns:a16="http://schemas.microsoft.com/office/drawing/2014/main" id="{CF0F3126-4397-489B-BC65-B536494A0E7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Розширення3.4" spid="_x0000_s135470"/>
                </a:ext>
              </a:extLst>
            </xdr:cNvPicPr>
          </xdr:nvPicPr>
          <xdr:blipFill>
            <a:blip xmlns:r="http://schemas.openxmlformats.org/officeDocument/2006/relationships" r:embed="rId1"/>
            <a:srcRect l="9525" t="1543" r="46025" b="6531"/>
            <a:stretch>
              <a:fillRect/>
            </a:stretch>
          </xdr:blipFill>
          <xdr:spPr bwMode="auto">
            <a:xfrm>
              <a:off x="25041225" y="3314700"/>
              <a:ext cx="1981200" cy="1000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12</xdr:row>
          <xdr:rowOff>171450</xdr:rowOff>
        </xdr:from>
        <xdr:to>
          <xdr:col>29</xdr:col>
          <xdr:colOff>352425</xdr:colOff>
          <xdr:row>13</xdr:row>
          <xdr:rowOff>962025</xdr:rowOff>
        </xdr:to>
        <xdr:pic>
          <xdr:nvPicPr>
            <xdr:cNvPr id="66908" name="Рисунок 11">
              <a:extLst>
                <a:ext uri="{FF2B5EF4-FFF2-40B4-BE49-F238E27FC236}">
                  <a16:creationId xmlns:a16="http://schemas.microsoft.com/office/drawing/2014/main" id="{A9F0C538-4A6B-4B05-9DF0-3074B4CBFD2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нтролер3.4" spid="_x0000_s135471"/>
                </a:ext>
              </a:extLst>
            </xdr:cNvPicPr>
          </xdr:nvPicPr>
          <xdr:blipFill>
            <a:blip xmlns:r="http://schemas.openxmlformats.org/officeDocument/2006/relationships" r:embed="rId1"/>
            <a:srcRect l="327" t="1335" r="39388" b="2367"/>
            <a:stretch>
              <a:fillRect/>
            </a:stretch>
          </xdr:blipFill>
          <xdr:spPr bwMode="auto">
            <a:xfrm>
              <a:off x="21583650" y="3305175"/>
              <a:ext cx="3714750" cy="1000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85725</xdr:colOff>
          <xdr:row>24</xdr:row>
          <xdr:rowOff>38100</xdr:rowOff>
        </xdr:from>
        <xdr:to>
          <xdr:col>25</xdr:col>
          <xdr:colOff>428625</xdr:colOff>
          <xdr:row>25</xdr:row>
          <xdr:rowOff>38100</xdr:rowOff>
        </xdr:to>
        <xdr:pic>
          <xdr:nvPicPr>
            <xdr:cNvPr id="66909" name="Рисунок 12">
              <a:extLst>
                <a:ext uri="{FF2B5EF4-FFF2-40B4-BE49-F238E27FC236}">
                  <a16:creationId xmlns:a16="http://schemas.microsoft.com/office/drawing/2014/main" id="{2CB6EED8-B1A0-4CBC-B621-D5A18CA96AC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лРадіатори3" spid="_x0000_s135472"/>
                </a:ext>
              </a:extLst>
            </xdr:cNvPicPr>
          </xdr:nvPicPr>
          <xdr:blipFill>
            <a:blip xmlns:r="http://schemas.openxmlformats.org/officeDocument/2006/relationships" r:embed="rId1"/>
            <a:srcRect l="468" t="1430" r="25600" b="2802"/>
            <a:stretch>
              <a:fillRect/>
            </a:stretch>
          </xdr:blipFill>
          <xdr:spPr bwMode="auto">
            <a:xfrm>
              <a:off x="18249900" y="6667500"/>
              <a:ext cx="3733800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24</xdr:row>
          <xdr:rowOff>9525</xdr:rowOff>
        </xdr:from>
        <xdr:to>
          <xdr:col>20</xdr:col>
          <xdr:colOff>57150</xdr:colOff>
          <xdr:row>25</xdr:row>
          <xdr:rowOff>9525</xdr:rowOff>
        </xdr:to>
        <xdr:pic>
          <xdr:nvPicPr>
            <xdr:cNvPr id="66910" name="Рисунок 13">
              <a:extLst>
                <a:ext uri="{FF2B5EF4-FFF2-40B4-BE49-F238E27FC236}">
                  <a16:creationId xmlns:a16="http://schemas.microsoft.com/office/drawing/2014/main" id="{B207C714-83AC-4E16-806B-0B5A444198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лСтіни3.2" spid="_x0000_s135473"/>
                </a:ext>
              </a:extLst>
            </xdr:cNvPicPr>
          </xdr:nvPicPr>
          <xdr:blipFill>
            <a:blip xmlns:r="http://schemas.openxmlformats.org/officeDocument/2006/relationships" r:embed="rId1"/>
            <a:srcRect l="468" t="1430" r="25600" b="2802"/>
            <a:stretch>
              <a:fillRect/>
            </a:stretch>
          </xdr:blipFill>
          <xdr:spPr bwMode="auto">
            <a:xfrm>
              <a:off x="13954125" y="6638925"/>
              <a:ext cx="3419475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24</xdr:row>
          <xdr:rowOff>19050</xdr:rowOff>
        </xdr:from>
        <xdr:to>
          <xdr:col>30</xdr:col>
          <xdr:colOff>133350</xdr:colOff>
          <xdr:row>25</xdr:row>
          <xdr:rowOff>19050</xdr:rowOff>
        </xdr:to>
        <xdr:pic>
          <xdr:nvPicPr>
            <xdr:cNvPr id="66911" name="Рисунок 14">
              <a:extLst>
                <a:ext uri="{FF2B5EF4-FFF2-40B4-BE49-F238E27FC236}">
                  <a16:creationId xmlns:a16="http://schemas.microsoft.com/office/drawing/2014/main" id="{87AC0743-E9C1-4381-808A-80E7C630336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лФанкойли3" spid="_x0000_s135474"/>
                </a:ext>
              </a:extLst>
            </xdr:cNvPicPr>
          </xdr:nvPicPr>
          <xdr:blipFill>
            <a:blip xmlns:r="http://schemas.openxmlformats.org/officeDocument/2006/relationships" r:embed="rId1"/>
            <a:srcRect l="468" t="1430" r="25600" b="2802"/>
            <a:stretch>
              <a:fillRect/>
            </a:stretch>
          </xdr:blipFill>
          <xdr:spPr bwMode="auto">
            <a:xfrm>
              <a:off x="22440900" y="6648450"/>
              <a:ext cx="3486150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</xdr:row>
          <xdr:rowOff>66675</xdr:rowOff>
        </xdr:from>
        <xdr:to>
          <xdr:col>1</xdr:col>
          <xdr:colOff>781050</xdr:colOff>
          <xdr:row>3</xdr:row>
          <xdr:rowOff>723900</xdr:rowOff>
        </xdr:to>
        <xdr:pic>
          <xdr:nvPicPr>
            <xdr:cNvPr id="66912" name="Рисунок 37">
              <a:extLst>
                <a:ext uri="{FF2B5EF4-FFF2-40B4-BE49-F238E27FC236}">
                  <a16:creationId xmlns:a16="http://schemas.microsoft.com/office/drawing/2014/main" id="{47F15B73-D578-4CF9-A567-069BB1BB090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1" spid="_x0000_s135475"/>
                </a:ext>
              </a:extLst>
            </xdr:cNvPicPr>
          </xdr:nvPicPr>
          <xdr:blipFill>
            <a:blip xmlns:r="http://schemas.openxmlformats.org/officeDocument/2006/relationships" r:embed="rId23"/>
            <a:srcRect l="1631" t="9160" r="67888" b="4153"/>
            <a:stretch>
              <a:fillRect/>
            </a:stretch>
          </xdr:blipFill>
          <xdr:spPr bwMode="auto">
            <a:xfrm>
              <a:off x="1257300" y="914400"/>
              <a:ext cx="733425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</xdr:row>
          <xdr:rowOff>66675</xdr:rowOff>
        </xdr:from>
        <xdr:to>
          <xdr:col>2</xdr:col>
          <xdr:colOff>809625</xdr:colOff>
          <xdr:row>3</xdr:row>
          <xdr:rowOff>723900</xdr:rowOff>
        </xdr:to>
        <xdr:pic>
          <xdr:nvPicPr>
            <xdr:cNvPr id="66913" name="Рисунок 38">
              <a:extLst>
                <a:ext uri="{FF2B5EF4-FFF2-40B4-BE49-F238E27FC236}">
                  <a16:creationId xmlns:a16="http://schemas.microsoft.com/office/drawing/2014/main" id="{F9C83B7D-59C3-46A1-AE2A-1A093B57D75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2" spid="_x0000_s135476"/>
                </a:ext>
              </a:extLst>
            </xdr:cNvPicPr>
          </xdr:nvPicPr>
          <xdr:blipFill>
            <a:blip xmlns:r="http://schemas.openxmlformats.org/officeDocument/2006/relationships" r:embed="rId24"/>
            <a:srcRect l="1631" t="9160" r="67888" b="4153"/>
            <a:stretch>
              <a:fillRect/>
            </a:stretch>
          </xdr:blipFill>
          <xdr:spPr bwMode="auto">
            <a:xfrm>
              <a:off x="2124075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</xdr:row>
          <xdr:rowOff>66675</xdr:rowOff>
        </xdr:from>
        <xdr:to>
          <xdr:col>3</xdr:col>
          <xdr:colOff>809625</xdr:colOff>
          <xdr:row>3</xdr:row>
          <xdr:rowOff>723900</xdr:rowOff>
        </xdr:to>
        <xdr:pic>
          <xdr:nvPicPr>
            <xdr:cNvPr id="66914" name="Рисунок 39">
              <a:extLst>
                <a:ext uri="{FF2B5EF4-FFF2-40B4-BE49-F238E27FC236}">
                  <a16:creationId xmlns:a16="http://schemas.microsoft.com/office/drawing/2014/main" id="{F6862629-EF6F-4A13-8782-B1FFC69AD26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3" spid="_x0000_s135477"/>
                </a:ext>
              </a:extLst>
            </xdr:cNvPicPr>
          </xdr:nvPicPr>
          <xdr:blipFill>
            <a:blip xmlns:r="http://schemas.openxmlformats.org/officeDocument/2006/relationships" r:embed="rId25"/>
            <a:srcRect l="1631" t="9160" r="67888" b="4153"/>
            <a:stretch>
              <a:fillRect/>
            </a:stretch>
          </xdr:blipFill>
          <xdr:spPr bwMode="auto">
            <a:xfrm>
              <a:off x="2971800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</xdr:row>
          <xdr:rowOff>66675</xdr:rowOff>
        </xdr:from>
        <xdr:to>
          <xdr:col>4</xdr:col>
          <xdr:colOff>809625</xdr:colOff>
          <xdr:row>3</xdr:row>
          <xdr:rowOff>723900</xdr:rowOff>
        </xdr:to>
        <xdr:pic>
          <xdr:nvPicPr>
            <xdr:cNvPr id="66915" name="Рисунок 40">
              <a:extLst>
                <a:ext uri="{FF2B5EF4-FFF2-40B4-BE49-F238E27FC236}">
                  <a16:creationId xmlns:a16="http://schemas.microsoft.com/office/drawing/2014/main" id="{3BB1F899-BFA6-46A0-8641-59627AB7FD2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4" spid="_x0000_s135478"/>
                </a:ext>
              </a:extLst>
            </xdr:cNvPicPr>
          </xdr:nvPicPr>
          <xdr:blipFill>
            <a:blip xmlns:r="http://schemas.openxmlformats.org/officeDocument/2006/relationships" r:embed="rId26"/>
            <a:srcRect l="1631" t="9160" r="67888" b="4153"/>
            <a:stretch>
              <a:fillRect/>
            </a:stretch>
          </xdr:blipFill>
          <xdr:spPr bwMode="auto">
            <a:xfrm>
              <a:off x="3819525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</xdr:row>
          <xdr:rowOff>66675</xdr:rowOff>
        </xdr:from>
        <xdr:to>
          <xdr:col>5</xdr:col>
          <xdr:colOff>809625</xdr:colOff>
          <xdr:row>3</xdr:row>
          <xdr:rowOff>723900</xdr:rowOff>
        </xdr:to>
        <xdr:pic>
          <xdr:nvPicPr>
            <xdr:cNvPr id="66916" name="Рисунок 41">
              <a:extLst>
                <a:ext uri="{FF2B5EF4-FFF2-40B4-BE49-F238E27FC236}">
                  <a16:creationId xmlns:a16="http://schemas.microsoft.com/office/drawing/2014/main" id="{363EC0BC-3B5B-4DF5-8628-485E6D5E0D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5" spid="_x0000_s135479"/>
                </a:ext>
              </a:extLst>
            </xdr:cNvPicPr>
          </xdr:nvPicPr>
          <xdr:blipFill>
            <a:blip xmlns:r="http://schemas.openxmlformats.org/officeDocument/2006/relationships" r:embed="rId27"/>
            <a:srcRect l="1631" t="9160" r="67888" b="4153"/>
            <a:stretch>
              <a:fillRect/>
            </a:stretch>
          </xdr:blipFill>
          <xdr:spPr bwMode="auto">
            <a:xfrm>
              <a:off x="4667250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</xdr:row>
          <xdr:rowOff>66675</xdr:rowOff>
        </xdr:from>
        <xdr:to>
          <xdr:col>6</xdr:col>
          <xdr:colOff>809625</xdr:colOff>
          <xdr:row>3</xdr:row>
          <xdr:rowOff>723900</xdr:rowOff>
        </xdr:to>
        <xdr:pic>
          <xdr:nvPicPr>
            <xdr:cNvPr id="66917" name="Рисунок 42">
              <a:extLst>
                <a:ext uri="{FF2B5EF4-FFF2-40B4-BE49-F238E27FC236}">
                  <a16:creationId xmlns:a16="http://schemas.microsoft.com/office/drawing/2014/main" id="{A6E31FF3-4FA5-4F46-AE1F-9A4AB51C5D5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6" spid="_x0000_s135480"/>
                </a:ext>
              </a:extLst>
            </xdr:cNvPicPr>
          </xdr:nvPicPr>
          <xdr:blipFill>
            <a:blip xmlns:r="http://schemas.openxmlformats.org/officeDocument/2006/relationships" r:embed="rId28"/>
            <a:srcRect l="1631" t="9160" r="67888" b="4153"/>
            <a:stretch>
              <a:fillRect/>
            </a:stretch>
          </xdr:blipFill>
          <xdr:spPr bwMode="auto">
            <a:xfrm>
              <a:off x="5514975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</xdr:row>
          <xdr:rowOff>66675</xdr:rowOff>
        </xdr:from>
        <xdr:to>
          <xdr:col>7</xdr:col>
          <xdr:colOff>809625</xdr:colOff>
          <xdr:row>3</xdr:row>
          <xdr:rowOff>723900</xdr:rowOff>
        </xdr:to>
        <xdr:pic>
          <xdr:nvPicPr>
            <xdr:cNvPr id="66918" name="Рисунок 43">
              <a:extLst>
                <a:ext uri="{FF2B5EF4-FFF2-40B4-BE49-F238E27FC236}">
                  <a16:creationId xmlns:a16="http://schemas.microsoft.com/office/drawing/2014/main" id="{73705764-E3DD-4C52-AAD5-96CD1C0C962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7" spid="_x0000_s135481"/>
                </a:ext>
              </a:extLst>
            </xdr:cNvPicPr>
          </xdr:nvPicPr>
          <xdr:blipFill>
            <a:blip xmlns:r="http://schemas.openxmlformats.org/officeDocument/2006/relationships" r:embed="rId29"/>
            <a:srcRect l="1631" t="9160" r="67888" b="4153"/>
            <a:stretch>
              <a:fillRect/>
            </a:stretch>
          </xdr:blipFill>
          <xdr:spPr bwMode="auto">
            <a:xfrm>
              <a:off x="6362700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3</xdr:row>
          <xdr:rowOff>66675</xdr:rowOff>
        </xdr:from>
        <xdr:to>
          <xdr:col>8</xdr:col>
          <xdr:colOff>809625</xdr:colOff>
          <xdr:row>3</xdr:row>
          <xdr:rowOff>723900</xdr:rowOff>
        </xdr:to>
        <xdr:pic>
          <xdr:nvPicPr>
            <xdr:cNvPr id="66919" name="Рисунок 44">
              <a:extLst>
                <a:ext uri="{FF2B5EF4-FFF2-40B4-BE49-F238E27FC236}">
                  <a16:creationId xmlns:a16="http://schemas.microsoft.com/office/drawing/2014/main" id="{D6AAA14E-4050-40F2-A2D4-D9A18F9F2D6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8" spid="_x0000_s135482"/>
                </a:ext>
              </a:extLst>
            </xdr:cNvPicPr>
          </xdr:nvPicPr>
          <xdr:blipFill>
            <a:blip xmlns:r="http://schemas.openxmlformats.org/officeDocument/2006/relationships" r:embed="rId30"/>
            <a:srcRect l="1631" t="9160" r="67888" b="4153"/>
            <a:stretch>
              <a:fillRect/>
            </a:stretch>
          </xdr:blipFill>
          <xdr:spPr bwMode="auto">
            <a:xfrm>
              <a:off x="7210425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</xdr:row>
          <xdr:rowOff>66675</xdr:rowOff>
        </xdr:from>
        <xdr:to>
          <xdr:col>9</xdr:col>
          <xdr:colOff>809625</xdr:colOff>
          <xdr:row>3</xdr:row>
          <xdr:rowOff>723900</xdr:rowOff>
        </xdr:to>
        <xdr:pic>
          <xdr:nvPicPr>
            <xdr:cNvPr id="66920" name="Рисунок 45">
              <a:extLst>
                <a:ext uri="{FF2B5EF4-FFF2-40B4-BE49-F238E27FC236}">
                  <a16:creationId xmlns:a16="http://schemas.microsoft.com/office/drawing/2014/main" id="{655F6600-073C-43D6-A0FF-7198C23151D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9" spid="_x0000_s135483"/>
                </a:ext>
              </a:extLst>
            </xdr:cNvPicPr>
          </xdr:nvPicPr>
          <xdr:blipFill>
            <a:blip xmlns:r="http://schemas.openxmlformats.org/officeDocument/2006/relationships" r:embed="rId31"/>
            <a:srcRect l="1631" t="9160" r="67888" b="4153"/>
            <a:stretch>
              <a:fillRect/>
            </a:stretch>
          </xdr:blipFill>
          <xdr:spPr bwMode="auto">
            <a:xfrm>
              <a:off x="8058150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</xdr:row>
          <xdr:rowOff>66675</xdr:rowOff>
        </xdr:from>
        <xdr:to>
          <xdr:col>10</xdr:col>
          <xdr:colOff>809625</xdr:colOff>
          <xdr:row>3</xdr:row>
          <xdr:rowOff>723900</xdr:rowOff>
        </xdr:to>
        <xdr:pic>
          <xdr:nvPicPr>
            <xdr:cNvPr id="66921" name="Рисунок 46">
              <a:extLst>
                <a:ext uri="{FF2B5EF4-FFF2-40B4-BE49-F238E27FC236}">
                  <a16:creationId xmlns:a16="http://schemas.microsoft.com/office/drawing/2014/main" id="{9C1AA262-3C20-4293-8F65-37E5AECE74D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10" spid="_x0000_s135484"/>
                </a:ext>
              </a:extLst>
            </xdr:cNvPicPr>
          </xdr:nvPicPr>
          <xdr:blipFill>
            <a:blip xmlns:r="http://schemas.openxmlformats.org/officeDocument/2006/relationships" r:embed="rId32"/>
            <a:srcRect l="1631" t="9160" r="67888" b="4153"/>
            <a:stretch>
              <a:fillRect/>
            </a:stretch>
          </xdr:blipFill>
          <xdr:spPr bwMode="auto">
            <a:xfrm>
              <a:off x="8905875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</xdr:row>
          <xdr:rowOff>66675</xdr:rowOff>
        </xdr:from>
        <xdr:to>
          <xdr:col>11</xdr:col>
          <xdr:colOff>809625</xdr:colOff>
          <xdr:row>3</xdr:row>
          <xdr:rowOff>723900</xdr:rowOff>
        </xdr:to>
        <xdr:pic>
          <xdr:nvPicPr>
            <xdr:cNvPr id="66922" name="Рисунок 47">
              <a:extLst>
                <a:ext uri="{FF2B5EF4-FFF2-40B4-BE49-F238E27FC236}">
                  <a16:creationId xmlns:a16="http://schemas.microsoft.com/office/drawing/2014/main" id="{A337968A-EFB5-40FE-8C83-6F0647C563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11" spid="_x0000_s135485"/>
                </a:ext>
              </a:extLst>
            </xdr:cNvPicPr>
          </xdr:nvPicPr>
          <xdr:blipFill>
            <a:blip xmlns:r="http://schemas.openxmlformats.org/officeDocument/2006/relationships" r:embed="rId33"/>
            <a:srcRect l="1631" t="9160" r="67888" b="4153"/>
            <a:stretch>
              <a:fillRect/>
            </a:stretch>
          </xdr:blipFill>
          <xdr:spPr bwMode="auto">
            <a:xfrm>
              <a:off x="9753600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3</xdr:row>
          <xdr:rowOff>66675</xdr:rowOff>
        </xdr:from>
        <xdr:to>
          <xdr:col>12</xdr:col>
          <xdr:colOff>809625</xdr:colOff>
          <xdr:row>3</xdr:row>
          <xdr:rowOff>723900</xdr:rowOff>
        </xdr:to>
        <xdr:pic>
          <xdr:nvPicPr>
            <xdr:cNvPr id="66923" name="Рисунок 48">
              <a:extLst>
                <a:ext uri="{FF2B5EF4-FFF2-40B4-BE49-F238E27FC236}">
                  <a16:creationId xmlns:a16="http://schemas.microsoft.com/office/drawing/2014/main" id="{3A3427C9-7C06-4F8A-9E46-E90F9181A29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12" spid="_x0000_s135486"/>
                </a:ext>
              </a:extLst>
            </xdr:cNvPicPr>
          </xdr:nvPicPr>
          <xdr:blipFill>
            <a:blip xmlns:r="http://schemas.openxmlformats.org/officeDocument/2006/relationships" r:embed="rId34"/>
            <a:srcRect l="1631" t="9160" r="67888" b="4153"/>
            <a:stretch>
              <a:fillRect/>
            </a:stretch>
          </xdr:blipFill>
          <xdr:spPr bwMode="auto">
            <a:xfrm>
              <a:off x="10601325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</xdr:row>
          <xdr:rowOff>66675</xdr:rowOff>
        </xdr:from>
        <xdr:to>
          <xdr:col>13</xdr:col>
          <xdr:colOff>809625</xdr:colOff>
          <xdr:row>3</xdr:row>
          <xdr:rowOff>723900</xdr:rowOff>
        </xdr:to>
        <xdr:pic>
          <xdr:nvPicPr>
            <xdr:cNvPr id="66924" name="Рисунок 49">
              <a:extLst>
                <a:ext uri="{FF2B5EF4-FFF2-40B4-BE49-F238E27FC236}">
                  <a16:creationId xmlns:a16="http://schemas.microsoft.com/office/drawing/2014/main" id="{3A0537DD-4E77-45DA-AB2F-302A02E2411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omT3.13" spid="_x0000_s135487"/>
                </a:ext>
              </a:extLst>
            </xdr:cNvPicPr>
          </xdr:nvPicPr>
          <xdr:blipFill>
            <a:blip xmlns:r="http://schemas.openxmlformats.org/officeDocument/2006/relationships" r:embed="rId35"/>
            <a:srcRect l="1631" t="9160" r="67888" b="4153"/>
            <a:stretch>
              <a:fillRect/>
            </a:stretch>
          </xdr:blipFill>
          <xdr:spPr bwMode="auto">
            <a:xfrm>
              <a:off x="11449050" y="914400"/>
              <a:ext cx="742950" cy="657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12</xdr:row>
          <xdr:rowOff>104775</xdr:rowOff>
        </xdr:from>
        <xdr:to>
          <xdr:col>7</xdr:col>
          <xdr:colOff>333375</xdr:colOff>
          <xdr:row>13</xdr:row>
          <xdr:rowOff>904875</xdr:rowOff>
        </xdr:to>
        <xdr:pic>
          <xdr:nvPicPr>
            <xdr:cNvPr id="98195" name="Рисунок 1">
              <a:extLst>
                <a:ext uri="{FF2B5EF4-FFF2-40B4-BE49-F238E27FC236}">
                  <a16:creationId xmlns:a16="http://schemas.microsoft.com/office/drawing/2014/main" id="{8C042790-31F0-4E44-AD8A-78F1A782B62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Розширення3.1" spid="_x0000_s135488"/>
                </a:ext>
              </a:extLst>
            </xdr:cNvPicPr>
          </xdr:nvPicPr>
          <xdr:blipFill>
            <a:blip xmlns:r="http://schemas.openxmlformats.org/officeDocument/2006/relationships" r:embed="rId1"/>
            <a:srcRect l="9525" t="1543" r="46025" b="6531"/>
            <a:stretch>
              <a:fillRect/>
            </a:stretch>
          </xdr:blipFill>
          <xdr:spPr bwMode="auto">
            <a:xfrm>
              <a:off x="4419600" y="3238500"/>
              <a:ext cx="2209800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12</xdr:row>
          <xdr:rowOff>95250</xdr:rowOff>
        </xdr:from>
        <xdr:to>
          <xdr:col>5</xdr:col>
          <xdr:colOff>266700</xdr:colOff>
          <xdr:row>13</xdr:row>
          <xdr:rowOff>895350</xdr:rowOff>
        </xdr:to>
        <xdr:pic>
          <xdr:nvPicPr>
            <xdr:cNvPr id="98196" name="Рисунок 2">
              <a:extLst>
                <a:ext uri="{FF2B5EF4-FFF2-40B4-BE49-F238E27FC236}">
                  <a16:creationId xmlns:a16="http://schemas.microsoft.com/office/drawing/2014/main" id="{81A1AE30-46ED-4134-945A-FCE50674013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нтролер3.1" spid="_x0000_s135489"/>
                </a:ext>
              </a:extLst>
            </xdr:cNvPicPr>
          </xdr:nvPicPr>
          <xdr:blipFill>
            <a:blip xmlns:r="http://schemas.openxmlformats.org/officeDocument/2006/relationships" r:embed="rId1"/>
            <a:srcRect l="327" t="1335" r="39388" b="2367"/>
            <a:stretch>
              <a:fillRect/>
            </a:stretch>
          </xdr:blipFill>
          <xdr:spPr bwMode="auto">
            <a:xfrm>
              <a:off x="1323975" y="3228975"/>
              <a:ext cx="3543300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24</xdr:row>
          <xdr:rowOff>38100</xdr:rowOff>
        </xdr:from>
        <xdr:to>
          <xdr:col>5</xdr:col>
          <xdr:colOff>781050</xdr:colOff>
          <xdr:row>25</xdr:row>
          <xdr:rowOff>38100</xdr:rowOff>
        </xdr:to>
        <xdr:pic>
          <xdr:nvPicPr>
            <xdr:cNvPr id="98197" name="Рисунок 3">
              <a:extLst>
                <a:ext uri="{FF2B5EF4-FFF2-40B4-BE49-F238E27FC236}">
                  <a16:creationId xmlns:a16="http://schemas.microsoft.com/office/drawing/2014/main" id="{6D5B169E-FFF0-4ABB-A574-08C6EF82D34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лПідлоги3.1" spid="_x0000_s135490"/>
                </a:ext>
              </a:extLst>
            </xdr:cNvPicPr>
          </xdr:nvPicPr>
          <xdr:blipFill>
            <a:blip xmlns:r="http://schemas.openxmlformats.org/officeDocument/2006/relationships" r:embed="rId1"/>
            <a:srcRect l="468" t="1430" r="25600" b="2802"/>
            <a:stretch>
              <a:fillRect/>
            </a:stretch>
          </xdr:blipFill>
          <xdr:spPr bwMode="auto">
            <a:xfrm>
              <a:off x="1485900" y="6667500"/>
              <a:ext cx="3895725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714375</xdr:colOff>
          <xdr:row>24</xdr:row>
          <xdr:rowOff>28575</xdr:rowOff>
        </xdr:from>
        <xdr:to>
          <xdr:col>10</xdr:col>
          <xdr:colOff>19050</xdr:colOff>
          <xdr:row>25</xdr:row>
          <xdr:rowOff>28575</xdr:rowOff>
        </xdr:to>
        <xdr:pic>
          <xdr:nvPicPr>
            <xdr:cNvPr id="98198" name="Рисунок 4">
              <a:extLst>
                <a:ext uri="{FF2B5EF4-FFF2-40B4-BE49-F238E27FC236}">
                  <a16:creationId xmlns:a16="http://schemas.microsoft.com/office/drawing/2014/main" id="{3B6C7C92-E867-433A-B865-EA4BEC38404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лСтіна3.1" spid="_x0000_s135491"/>
                </a:ext>
              </a:extLst>
            </xdr:cNvPicPr>
          </xdr:nvPicPr>
          <xdr:blipFill>
            <a:blip xmlns:r="http://schemas.openxmlformats.org/officeDocument/2006/relationships" r:embed="rId1"/>
            <a:srcRect l="468" t="1430" r="25600" b="2802"/>
            <a:stretch>
              <a:fillRect/>
            </a:stretch>
          </xdr:blipFill>
          <xdr:spPr bwMode="auto">
            <a:xfrm>
              <a:off x="5314950" y="6657975"/>
              <a:ext cx="3543300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24</xdr:row>
          <xdr:rowOff>9525</xdr:rowOff>
        </xdr:from>
        <xdr:to>
          <xdr:col>15</xdr:col>
          <xdr:colOff>19050</xdr:colOff>
          <xdr:row>25</xdr:row>
          <xdr:rowOff>9525</xdr:rowOff>
        </xdr:to>
        <xdr:pic>
          <xdr:nvPicPr>
            <xdr:cNvPr id="98199" name="Рисунок 5">
              <a:extLst>
                <a:ext uri="{FF2B5EF4-FFF2-40B4-BE49-F238E27FC236}">
                  <a16:creationId xmlns:a16="http://schemas.microsoft.com/office/drawing/2014/main" id="{B3C202F7-6F40-48C3-9DCD-7E9C546D8D4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лПідлоги3.2" spid="_x0000_s135492"/>
                </a:ext>
              </a:extLst>
            </xdr:cNvPicPr>
          </xdr:nvPicPr>
          <xdr:blipFill>
            <a:blip xmlns:r="http://schemas.openxmlformats.org/officeDocument/2006/relationships" r:embed="rId1"/>
            <a:srcRect l="468" t="1430" r="25600" b="2802"/>
            <a:stretch>
              <a:fillRect/>
            </a:stretch>
          </xdr:blipFill>
          <xdr:spPr bwMode="auto">
            <a:xfrm>
              <a:off x="9696450" y="6638925"/>
              <a:ext cx="3400425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676275</xdr:colOff>
          <xdr:row>12</xdr:row>
          <xdr:rowOff>133350</xdr:rowOff>
        </xdr:from>
        <xdr:to>
          <xdr:col>15</xdr:col>
          <xdr:colOff>381000</xdr:colOff>
          <xdr:row>13</xdr:row>
          <xdr:rowOff>923925</xdr:rowOff>
        </xdr:to>
        <xdr:pic>
          <xdr:nvPicPr>
            <xdr:cNvPr id="98200" name="Рисунок 6">
              <a:extLst>
                <a:ext uri="{FF2B5EF4-FFF2-40B4-BE49-F238E27FC236}">
                  <a16:creationId xmlns:a16="http://schemas.microsoft.com/office/drawing/2014/main" id="{ECC4864F-3BAC-44FC-8441-365987FCBBF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Розширення3.2" spid="_x0000_s135493"/>
                </a:ext>
              </a:extLst>
            </xdr:cNvPicPr>
          </xdr:nvPicPr>
          <xdr:blipFill>
            <a:blip xmlns:r="http://schemas.openxmlformats.org/officeDocument/2006/relationships" r:embed="rId1"/>
            <a:srcRect l="9525" t="1543" r="46025" b="6531"/>
            <a:stretch>
              <a:fillRect/>
            </a:stretch>
          </xdr:blipFill>
          <xdr:spPr bwMode="auto">
            <a:xfrm>
              <a:off x="11210925" y="3267075"/>
              <a:ext cx="2247900" cy="1000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142875</xdr:rowOff>
        </xdr:from>
        <xdr:to>
          <xdr:col>13</xdr:col>
          <xdr:colOff>333375</xdr:colOff>
          <xdr:row>13</xdr:row>
          <xdr:rowOff>942975</xdr:rowOff>
        </xdr:to>
        <xdr:pic>
          <xdr:nvPicPr>
            <xdr:cNvPr id="98201" name="Рисунок 7">
              <a:extLst>
                <a:ext uri="{FF2B5EF4-FFF2-40B4-BE49-F238E27FC236}">
                  <a16:creationId xmlns:a16="http://schemas.microsoft.com/office/drawing/2014/main" id="{33F8E47C-308A-4E4E-AE5B-75F40F6F2AF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нтролер3.2" spid="_x0000_s135494"/>
                </a:ext>
              </a:extLst>
            </xdr:cNvPicPr>
          </xdr:nvPicPr>
          <xdr:blipFill>
            <a:blip xmlns:r="http://schemas.openxmlformats.org/officeDocument/2006/relationships" r:embed="rId1"/>
            <a:srcRect l="327" t="1335" r="39388" b="2367"/>
            <a:stretch>
              <a:fillRect/>
            </a:stretch>
          </xdr:blipFill>
          <xdr:spPr bwMode="auto">
            <a:xfrm>
              <a:off x="7991475" y="3276600"/>
              <a:ext cx="3724275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828675</xdr:colOff>
          <xdr:row>12</xdr:row>
          <xdr:rowOff>161925</xdr:rowOff>
        </xdr:from>
        <xdr:to>
          <xdr:col>23</xdr:col>
          <xdr:colOff>381000</xdr:colOff>
          <xdr:row>13</xdr:row>
          <xdr:rowOff>952500</xdr:rowOff>
        </xdr:to>
        <xdr:pic>
          <xdr:nvPicPr>
            <xdr:cNvPr id="98202" name="Рисунок 8">
              <a:extLst>
                <a:ext uri="{FF2B5EF4-FFF2-40B4-BE49-F238E27FC236}">
                  <a16:creationId xmlns:a16="http://schemas.microsoft.com/office/drawing/2014/main" id="{F405A386-68A4-480C-A835-370608F78FB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Розширення3.3" spid="_x0000_s135495"/>
                </a:ext>
              </a:extLst>
            </xdr:cNvPicPr>
          </xdr:nvPicPr>
          <xdr:blipFill>
            <a:blip xmlns:r="http://schemas.openxmlformats.org/officeDocument/2006/relationships" r:embed="rId1"/>
            <a:srcRect l="9525" t="1543" r="46025" b="6531"/>
            <a:stretch>
              <a:fillRect/>
            </a:stretch>
          </xdr:blipFill>
          <xdr:spPr bwMode="auto">
            <a:xfrm>
              <a:off x="18145125" y="3295650"/>
              <a:ext cx="2095500" cy="1000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12</xdr:row>
          <xdr:rowOff>142875</xdr:rowOff>
        </xdr:from>
        <xdr:to>
          <xdr:col>21</xdr:col>
          <xdr:colOff>333375</xdr:colOff>
          <xdr:row>13</xdr:row>
          <xdr:rowOff>942975</xdr:rowOff>
        </xdr:to>
        <xdr:pic>
          <xdr:nvPicPr>
            <xdr:cNvPr id="98203" name="Рисунок 9">
              <a:extLst>
                <a:ext uri="{FF2B5EF4-FFF2-40B4-BE49-F238E27FC236}">
                  <a16:creationId xmlns:a16="http://schemas.microsoft.com/office/drawing/2014/main" id="{624A9F27-7C14-4BF3-A0EC-0302572EF99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нтролер3.3" spid="_x0000_s135496"/>
                </a:ext>
              </a:extLst>
            </xdr:cNvPicPr>
          </xdr:nvPicPr>
          <xdr:blipFill>
            <a:blip xmlns:r="http://schemas.openxmlformats.org/officeDocument/2006/relationships" r:embed="rId1"/>
            <a:srcRect l="327" t="1335" r="39388" b="2367"/>
            <a:stretch>
              <a:fillRect/>
            </a:stretch>
          </xdr:blipFill>
          <xdr:spPr bwMode="auto">
            <a:xfrm>
              <a:off x="14839950" y="3276600"/>
              <a:ext cx="3657600" cy="1009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95250</xdr:colOff>
          <xdr:row>12</xdr:row>
          <xdr:rowOff>180975</xdr:rowOff>
        </xdr:from>
        <xdr:to>
          <xdr:col>31</xdr:col>
          <xdr:colOff>381000</xdr:colOff>
          <xdr:row>13</xdr:row>
          <xdr:rowOff>971550</xdr:rowOff>
        </xdr:to>
        <xdr:pic>
          <xdr:nvPicPr>
            <xdr:cNvPr id="98204" name="Рисунок 10">
              <a:extLst>
                <a:ext uri="{FF2B5EF4-FFF2-40B4-BE49-F238E27FC236}">
                  <a16:creationId xmlns:a16="http://schemas.microsoft.com/office/drawing/2014/main" id="{04D389B3-E0EC-45CF-AAE1-876A3089C23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Розширення3.4" spid="_x0000_s135497"/>
                </a:ext>
              </a:extLst>
            </xdr:cNvPicPr>
          </xdr:nvPicPr>
          <xdr:blipFill>
            <a:blip xmlns:r="http://schemas.openxmlformats.org/officeDocument/2006/relationships" r:embed="rId1"/>
            <a:srcRect l="9525" t="1543" r="46025" b="6531"/>
            <a:stretch>
              <a:fillRect/>
            </a:stretch>
          </xdr:blipFill>
          <xdr:spPr bwMode="auto">
            <a:xfrm>
              <a:off x="25041225" y="3314700"/>
              <a:ext cx="1981200" cy="1000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12</xdr:row>
          <xdr:rowOff>171450</xdr:rowOff>
        </xdr:from>
        <xdr:to>
          <xdr:col>29</xdr:col>
          <xdr:colOff>352425</xdr:colOff>
          <xdr:row>13</xdr:row>
          <xdr:rowOff>962025</xdr:rowOff>
        </xdr:to>
        <xdr:pic>
          <xdr:nvPicPr>
            <xdr:cNvPr id="98205" name="Рисунок 11">
              <a:extLst>
                <a:ext uri="{FF2B5EF4-FFF2-40B4-BE49-F238E27FC236}">
                  <a16:creationId xmlns:a16="http://schemas.microsoft.com/office/drawing/2014/main" id="{DA685268-B6C3-4B64-B78A-0765E128534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нтролер3.4" spid="_x0000_s135498"/>
                </a:ext>
              </a:extLst>
            </xdr:cNvPicPr>
          </xdr:nvPicPr>
          <xdr:blipFill>
            <a:blip xmlns:r="http://schemas.openxmlformats.org/officeDocument/2006/relationships" r:embed="rId1"/>
            <a:srcRect l="327" t="1335" r="39388" b="2367"/>
            <a:stretch>
              <a:fillRect/>
            </a:stretch>
          </xdr:blipFill>
          <xdr:spPr bwMode="auto">
            <a:xfrm>
              <a:off x="21583650" y="3305175"/>
              <a:ext cx="3714750" cy="1000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85725</xdr:colOff>
          <xdr:row>24</xdr:row>
          <xdr:rowOff>38100</xdr:rowOff>
        </xdr:from>
        <xdr:to>
          <xdr:col>25</xdr:col>
          <xdr:colOff>428625</xdr:colOff>
          <xdr:row>25</xdr:row>
          <xdr:rowOff>38100</xdr:rowOff>
        </xdr:to>
        <xdr:pic>
          <xdr:nvPicPr>
            <xdr:cNvPr id="98206" name="Рисунок 12">
              <a:extLst>
                <a:ext uri="{FF2B5EF4-FFF2-40B4-BE49-F238E27FC236}">
                  <a16:creationId xmlns:a16="http://schemas.microsoft.com/office/drawing/2014/main" id="{A810F71E-DF6A-46C8-B9C5-48BB74C406E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КолРадіатори3" spid="_x0000_s135499"/>
                </a:ext>
              </a:extLst>
            </xdr:cNvPicPr>
          </xdr:nvPicPr>
          <xdr:blipFill>
            <a:blip xmlns:r="http://schemas.openxmlformats.org/officeDocument/2006/relationships" r:embed="rId1"/>
            <a:srcRect l="468" t="1430" r="25600" b="2802"/>
            <a:stretch>
              <a:fillRect/>
            </a:stretch>
          </xdr:blipFill>
          <xdr:spPr bwMode="auto">
            <a:xfrm>
              <a:off x="18249900" y="6667500"/>
              <a:ext cx="3733800" cy="152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115956</xdr:colOff>
      <xdr:row>0</xdr:row>
      <xdr:rowOff>0</xdr:rowOff>
    </xdr:from>
    <xdr:to>
      <xdr:col>8</xdr:col>
      <xdr:colOff>13740</xdr:colOff>
      <xdr:row>0</xdr:row>
      <xdr:rowOff>547745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9434" y="0"/>
          <a:ext cx="1976719" cy="5477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</xdr:rowOff>
    </xdr:from>
    <xdr:to>
      <xdr:col>4</xdr:col>
      <xdr:colOff>559174</xdr:colOff>
      <xdr:row>41</xdr:row>
      <xdr:rowOff>152401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26" b="9185"/>
        <a:stretch/>
      </xdr:blipFill>
      <xdr:spPr>
        <a:xfrm>
          <a:off x="0" y="1"/>
          <a:ext cx="5845549" cy="7962900"/>
        </a:xfrm>
        <a:prstGeom prst="rect">
          <a:avLst/>
        </a:prstGeom>
      </xdr:spPr>
    </xdr:pic>
    <xdr:clientData/>
  </xdr:twoCellAnchor>
  <xdr:twoCellAnchor editAs="absolute">
    <xdr:from>
      <xdr:col>0</xdr:col>
      <xdr:colOff>1</xdr:colOff>
      <xdr:row>48</xdr:row>
      <xdr:rowOff>19050</xdr:rowOff>
    </xdr:from>
    <xdr:to>
      <xdr:col>4</xdr:col>
      <xdr:colOff>532668</xdr:colOff>
      <xdr:row>89</xdr:row>
      <xdr:rowOff>171450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" r="5860" b="8712"/>
        <a:stretch/>
      </xdr:blipFill>
      <xdr:spPr>
        <a:xfrm>
          <a:off x="1" y="9163050"/>
          <a:ext cx="5819042" cy="7962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325877</xdr:colOff>
      <xdr:row>100</xdr:row>
      <xdr:rowOff>0</xdr:rowOff>
    </xdr:to>
    <xdr:sp macro="" textlink="">
      <xdr:nvSpPr>
        <xdr:cNvPr id="12" name="Равнобедренный треугольник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 rot="5400000">
          <a:off x="-161099" y="18639599"/>
          <a:ext cx="648075" cy="325877"/>
        </a:xfrm>
        <a:prstGeom prst="triangle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uk-UA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twoCellAnchor>
  <xdr:twoCellAnchor>
    <xdr:from>
      <xdr:col>1</xdr:col>
      <xdr:colOff>885825</xdr:colOff>
      <xdr:row>97</xdr:row>
      <xdr:rowOff>66675</xdr:rowOff>
    </xdr:from>
    <xdr:to>
      <xdr:col>5</xdr:col>
      <xdr:colOff>1092</xdr:colOff>
      <xdr:row>99</xdr:row>
      <xdr:rowOff>92518</xdr:rowOff>
    </xdr:to>
    <xdr:sp macro="" textlink="">
      <xdr:nvSpPr>
        <xdr:cNvPr id="13" name="TextBox 5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371600" y="18545175"/>
          <a:ext cx="4487367" cy="4068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uk-UA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uk-UA" sz="2000" b="1">
              <a:latin typeface="Century Gothic" panose="020B0502020202020204" pitchFamily="34" charset="0"/>
              <a:cs typeface="Arial" panose="020B0604020202020204" pitchFamily="34" charset="0"/>
            </a:rPr>
            <a:t>Комерційна пропозиція</a:t>
          </a:r>
          <a:endParaRPr lang="uk-UA" sz="2000" b="1">
            <a:latin typeface="Century Gothic" panose="020B0502020202020204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ponor.u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uponor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E01F-7CFE-405E-AC1E-1128252F35B1}">
  <sheetPr>
    <pageSetUpPr fitToPage="1"/>
  </sheetPr>
  <dimension ref="A1:H1711"/>
  <sheetViews>
    <sheetView topLeftCell="A1228" zoomScaleNormal="100" workbookViewId="0">
      <selection activeCell="C1247" sqref="C1247"/>
    </sheetView>
  </sheetViews>
  <sheetFormatPr defaultColWidth="9.140625" defaultRowHeight="15" outlineLevelCol="1" x14ac:dyDescent="0.25"/>
  <cols>
    <col min="1" max="1" width="17.85546875" style="137" bestFit="1" customWidth="1"/>
    <col min="2" max="2" width="8.5703125" style="137" bestFit="1" customWidth="1"/>
    <col min="3" max="3" width="82.28515625" style="137" bestFit="1" customWidth="1"/>
    <col min="4" max="4" width="10.7109375" style="153" bestFit="1" customWidth="1"/>
    <col min="5" max="5" width="9.140625" style="137" customWidth="1" outlineLevel="1"/>
    <col min="6" max="6" width="13.85546875" style="137" bestFit="1" customWidth="1" outlineLevel="1"/>
    <col min="7" max="7" width="16.140625" style="137" customWidth="1" outlineLevel="1"/>
    <col min="8" max="16384" width="9.140625" style="137"/>
  </cols>
  <sheetData>
    <row r="1" spans="1:7" ht="15.75" x14ac:dyDescent="0.3">
      <c r="A1" s="133" t="s">
        <v>10</v>
      </c>
      <c r="B1" s="134"/>
      <c r="C1" s="135"/>
      <c r="D1" s="136"/>
    </row>
    <row r="2" spans="1:7" ht="15.75" x14ac:dyDescent="0.3">
      <c r="A2" s="133" t="s">
        <v>13</v>
      </c>
      <c r="B2" s="134"/>
      <c r="C2" s="135"/>
      <c r="D2" s="136"/>
    </row>
    <row r="3" spans="1:7" ht="15.75" x14ac:dyDescent="0.3">
      <c r="A3" s="133" t="s">
        <v>11</v>
      </c>
      <c r="B3" s="134"/>
      <c r="C3" s="135"/>
      <c r="D3" s="136"/>
    </row>
    <row r="4" spans="1:7" x14ac:dyDescent="0.25">
      <c r="A4" s="138"/>
      <c r="B4" s="134"/>
      <c r="C4" s="135"/>
      <c r="D4" s="136"/>
    </row>
    <row r="5" spans="1:7" x14ac:dyDescent="0.25">
      <c r="A5" s="138"/>
      <c r="B5" s="134"/>
      <c r="C5" s="135"/>
      <c r="D5" s="136"/>
    </row>
    <row r="6" spans="1:7" ht="15.75" x14ac:dyDescent="0.25">
      <c r="A6" s="138"/>
      <c r="B6" s="138"/>
      <c r="C6" s="139" t="s">
        <v>464</v>
      </c>
      <c r="D6" s="140"/>
    </row>
    <row r="7" spans="1:7" ht="15.75" x14ac:dyDescent="0.3">
      <c r="A7" s="138"/>
      <c r="B7" s="138"/>
      <c r="C7" s="141" t="s">
        <v>12</v>
      </c>
      <c r="D7" s="140"/>
    </row>
    <row r="8" spans="1:7" x14ac:dyDescent="0.25">
      <c r="A8" s="138"/>
      <c r="B8" s="138"/>
      <c r="C8" s="142"/>
      <c r="D8" s="143"/>
    </row>
    <row r="9" spans="1:7" x14ac:dyDescent="0.25">
      <c r="A9" s="144" t="s">
        <v>465</v>
      </c>
      <c r="B9" s="138"/>
      <c r="C9" s="142"/>
      <c r="D9" s="143"/>
    </row>
    <row r="10" spans="1:7" ht="27" x14ac:dyDescent="0.25">
      <c r="A10" s="145" t="s">
        <v>2</v>
      </c>
      <c r="B10" s="145" t="s">
        <v>3</v>
      </c>
      <c r="C10" s="145" t="s">
        <v>4</v>
      </c>
      <c r="D10" s="146" t="s">
        <v>5</v>
      </c>
      <c r="E10" s="147" t="s">
        <v>6</v>
      </c>
      <c r="F10" s="147" t="s">
        <v>138</v>
      </c>
      <c r="G10" s="147" t="s">
        <v>139</v>
      </c>
    </row>
    <row r="11" spans="1:7" ht="15.75" x14ac:dyDescent="0.3">
      <c r="A11" s="148" t="s">
        <v>140</v>
      </c>
      <c r="B11" s="149">
        <v>1059572</v>
      </c>
      <c r="C11" s="148" t="s">
        <v>466</v>
      </c>
      <c r="D11" s="150">
        <v>4.75</v>
      </c>
      <c r="E11" s="151" t="s">
        <v>7</v>
      </c>
      <c r="F11" s="152">
        <v>5</v>
      </c>
      <c r="G11" s="152">
        <v>125</v>
      </c>
    </row>
    <row r="12" spans="1:7" ht="15.75" x14ac:dyDescent="0.3">
      <c r="A12" s="148" t="s">
        <v>140</v>
      </c>
      <c r="B12" s="149">
        <v>1059573</v>
      </c>
      <c r="C12" s="148" t="s">
        <v>467</v>
      </c>
      <c r="D12" s="150">
        <v>7.36</v>
      </c>
      <c r="E12" s="151" t="s">
        <v>7</v>
      </c>
      <c r="F12" s="152">
        <v>5</v>
      </c>
      <c r="G12" s="152">
        <v>85</v>
      </c>
    </row>
    <row r="13" spans="1:7" ht="15.75" x14ac:dyDescent="0.3">
      <c r="A13" s="148" t="s">
        <v>140</v>
      </c>
      <c r="B13" s="149">
        <v>1059574</v>
      </c>
      <c r="C13" s="148" t="s">
        <v>468</v>
      </c>
      <c r="D13" s="150">
        <v>7.85</v>
      </c>
      <c r="E13" s="151" t="s">
        <v>7</v>
      </c>
      <c r="F13" s="152">
        <v>5</v>
      </c>
      <c r="G13" s="152">
        <v>50</v>
      </c>
    </row>
    <row r="14" spans="1:7" ht="15.75" x14ac:dyDescent="0.3">
      <c r="A14" s="148" t="s">
        <v>140</v>
      </c>
      <c r="B14" s="149">
        <v>1059575</v>
      </c>
      <c r="C14" s="148" t="s">
        <v>469</v>
      </c>
      <c r="D14" s="150">
        <v>11.59</v>
      </c>
      <c r="E14" s="151" t="s">
        <v>7</v>
      </c>
      <c r="F14" s="152">
        <v>5</v>
      </c>
      <c r="G14" s="152">
        <v>35</v>
      </c>
    </row>
    <row r="15" spans="1:7" ht="15.75" x14ac:dyDescent="0.3">
      <c r="A15" s="148" t="s">
        <v>140</v>
      </c>
      <c r="B15" s="149">
        <v>1059576</v>
      </c>
      <c r="C15" s="148" t="s">
        <v>470</v>
      </c>
      <c r="D15" s="150">
        <v>2.74</v>
      </c>
      <c r="E15" s="151" t="s">
        <v>7</v>
      </c>
      <c r="F15" s="152">
        <v>100</v>
      </c>
      <c r="G15" s="152">
        <v>2000</v>
      </c>
    </row>
    <row r="16" spans="1:7" ht="15.75" x14ac:dyDescent="0.3">
      <c r="A16" s="148" t="s">
        <v>140</v>
      </c>
      <c r="B16" s="149">
        <v>1059577</v>
      </c>
      <c r="C16" s="148" t="s">
        <v>471</v>
      </c>
      <c r="D16" s="150">
        <v>2.74</v>
      </c>
      <c r="E16" s="151" t="s">
        <v>7</v>
      </c>
      <c r="F16" s="152">
        <v>200</v>
      </c>
      <c r="G16" s="152">
        <v>2600</v>
      </c>
    </row>
    <row r="17" spans="1:7" ht="15.75" x14ac:dyDescent="0.3">
      <c r="A17" s="148" t="s">
        <v>140</v>
      </c>
      <c r="B17" s="149">
        <v>1059578</v>
      </c>
      <c r="C17" s="148" t="s">
        <v>472</v>
      </c>
      <c r="D17" s="150">
        <v>2.74</v>
      </c>
      <c r="E17" s="151" t="s">
        <v>7</v>
      </c>
      <c r="F17" s="152">
        <v>500</v>
      </c>
      <c r="G17" s="152">
        <v>3500</v>
      </c>
    </row>
    <row r="18" spans="1:7" ht="15.75" x14ac:dyDescent="0.3">
      <c r="A18" s="148" t="s">
        <v>140</v>
      </c>
      <c r="B18" s="149">
        <v>1059579</v>
      </c>
      <c r="C18" s="148" t="s">
        <v>473</v>
      </c>
      <c r="D18" s="150">
        <v>4.34</v>
      </c>
      <c r="E18" s="151" t="s">
        <v>7</v>
      </c>
      <c r="F18" s="152">
        <v>100</v>
      </c>
      <c r="G18" s="152">
        <v>1300</v>
      </c>
    </row>
    <row r="19" spans="1:7" ht="15.75" x14ac:dyDescent="0.3">
      <c r="A19" s="148" t="s">
        <v>140</v>
      </c>
      <c r="B19" s="149">
        <v>1059581</v>
      </c>
      <c r="C19" s="148" t="s">
        <v>474</v>
      </c>
      <c r="D19" s="150">
        <v>7.82</v>
      </c>
      <c r="E19" s="151" t="s">
        <v>7</v>
      </c>
      <c r="F19" s="152">
        <v>50</v>
      </c>
      <c r="G19" s="152">
        <v>700</v>
      </c>
    </row>
    <row r="20" spans="1:7" ht="15.75" x14ac:dyDescent="0.3">
      <c r="A20" s="148" t="s">
        <v>140</v>
      </c>
      <c r="B20" s="149">
        <v>1059583</v>
      </c>
      <c r="C20" s="148" t="s">
        <v>475</v>
      </c>
      <c r="D20" s="150">
        <v>9.5500000000000007</v>
      </c>
      <c r="E20" s="151" t="s">
        <v>7</v>
      </c>
      <c r="F20" s="152">
        <v>50</v>
      </c>
      <c r="G20" s="152">
        <v>400</v>
      </c>
    </row>
    <row r="21" spans="1:7" ht="15.75" x14ac:dyDescent="0.3">
      <c r="A21" s="148" t="s">
        <v>140</v>
      </c>
      <c r="B21" s="149">
        <v>1013446</v>
      </c>
      <c r="C21" s="148" t="s">
        <v>476</v>
      </c>
      <c r="D21" s="150">
        <v>18.97</v>
      </c>
      <c r="E21" s="151" t="s">
        <v>7</v>
      </c>
      <c r="F21" s="152">
        <v>5</v>
      </c>
      <c r="G21" s="152">
        <v>20</v>
      </c>
    </row>
    <row r="22" spans="1:7" ht="15.75" x14ac:dyDescent="0.3">
      <c r="A22" s="148" t="s">
        <v>140</v>
      </c>
      <c r="B22" s="149">
        <v>1013449</v>
      </c>
      <c r="C22" s="148" t="s">
        <v>477</v>
      </c>
      <c r="D22" s="150">
        <v>27.71</v>
      </c>
      <c r="E22" s="151" t="s">
        <v>7</v>
      </c>
      <c r="F22" s="152">
        <v>5</v>
      </c>
      <c r="G22" s="152">
        <v>20</v>
      </c>
    </row>
    <row r="23" spans="1:7" ht="15.75" x14ac:dyDescent="0.3">
      <c r="A23" s="148" t="s">
        <v>140</v>
      </c>
      <c r="B23" s="149">
        <v>1013451</v>
      </c>
      <c r="C23" s="148" t="s">
        <v>478</v>
      </c>
      <c r="D23" s="150">
        <v>40.35</v>
      </c>
      <c r="E23" s="151" t="s">
        <v>7</v>
      </c>
      <c r="F23" s="152">
        <v>5</v>
      </c>
      <c r="G23" s="152">
        <v>15</v>
      </c>
    </row>
    <row r="24" spans="1:7" ht="15.75" x14ac:dyDescent="0.3">
      <c r="A24" s="148" t="s">
        <v>140</v>
      </c>
      <c r="B24" s="149">
        <v>1013453</v>
      </c>
      <c r="C24" s="148" t="s">
        <v>479</v>
      </c>
      <c r="D24" s="150">
        <v>68.069999999999993</v>
      </c>
      <c r="E24" s="151" t="s">
        <v>7</v>
      </c>
      <c r="F24" s="152">
        <v>5</v>
      </c>
      <c r="G24" s="152">
        <v>255</v>
      </c>
    </row>
    <row r="25" spans="1:7" ht="15.75" x14ac:dyDescent="0.3">
      <c r="A25" s="148" t="s">
        <v>140</v>
      </c>
      <c r="B25" s="149">
        <v>1013455</v>
      </c>
      <c r="C25" s="148" t="s">
        <v>480</v>
      </c>
      <c r="D25" s="150">
        <v>87.05</v>
      </c>
      <c r="E25" s="151" t="s">
        <v>7</v>
      </c>
      <c r="F25" s="152">
        <v>5</v>
      </c>
      <c r="G25" s="152">
        <v>255</v>
      </c>
    </row>
    <row r="26" spans="1:7" ht="15.75" x14ac:dyDescent="0.3">
      <c r="A26" s="148" t="s">
        <v>140</v>
      </c>
      <c r="B26" s="149">
        <v>1013457</v>
      </c>
      <c r="C26" s="148" t="s">
        <v>481</v>
      </c>
      <c r="D26" s="150">
        <v>114.75</v>
      </c>
      <c r="E26" s="151" t="s">
        <v>7</v>
      </c>
      <c r="F26" s="152">
        <v>5</v>
      </c>
      <c r="G26" s="152">
        <v>165</v>
      </c>
    </row>
    <row r="27" spans="1:7" ht="15.75" x14ac:dyDescent="0.3">
      <c r="A27" s="148" t="s">
        <v>140</v>
      </c>
      <c r="B27" s="149">
        <v>1013366</v>
      </c>
      <c r="C27" s="148" t="s">
        <v>482</v>
      </c>
      <c r="D27" s="150">
        <v>2.5099999999999998</v>
      </c>
      <c r="E27" s="151" t="s">
        <v>7</v>
      </c>
      <c r="F27" s="152">
        <v>200</v>
      </c>
      <c r="G27" s="152">
        <v>2600</v>
      </c>
    </row>
    <row r="28" spans="1:7" ht="15.75" x14ac:dyDescent="0.3">
      <c r="A28" s="148" t="s">
        <v>142</v>
      </c>
      <c r="B28" s="149">
        <v>1013137</v>
      </c>
      <c r="C28" s="148" t="s">
        <v>483</v>
      </c>
      <c r="D28" s="150">
        <v>0.34</v>
      </c>
      <c r="E28" s="151" t="s">
        <v>9</v>
      </c>
      <c r="F28" s="152">
        <v>50</v>
      </c>
      <c r="G28" s="152">
        <v>1000</v>
      </c>
    </row>
    <row r="29" spans="1:7" ht="15.75" x14ac:dyDescent="0.3">
      <c r="A29" s="148" t="s">
        <v>142</v>
      </c>
      <c r="B29" s="149">
        <v>1013138</v>
      </c>
      <c r="C29" s="148" t="s">
        <v>484</v>
      </c>
      <c r="D29" s="150">
        <v>0.38</v>
      </c>
      <c r="E29" s="151" t="s">
        <v>9</v>
      </c>
      <c r="F29" s="152">
        <v>50</v>
      </c>
      <c r="G29" s="152">
        <v>1000</v>
      </c>
    </row>
    <row r="30" spans="1:7" ht="15.75" x14ac:dyDescent="0.3">
      <c r="A30" s="148" t="s">
        <v>142</v>
      </c>
      <c r="B30" s="149">
        <v>1013139</v>
      </c>
      <c r="C30" s="148" t="s">
        <v>485</v>
      </c>
      <c r="D30" s="150">
        <v>0.38</v>
      </c>
      <c r="E30" s="151" t="s">
        <v>9</v>
      </c>
      <c r="F30" s="152">
        <v>50</v>
      </c>
      <c r="G30" s="152">
        <v>1000</v>
      </c>
    </row>
    <row r="31" spans="1:7" ht="15.75" x14ac:dyDescent="0.3">
      <c r="A31" s="148" t="s">
        <v>142</v>
      </c>
      <c r="B31" s="149">
        <v>1013140</v>
      </c>
      <c r="C31" s="148" t="s">
        <v>486</v>
      </c>
      <c r="D31" s="150">
        <v>0.44</v>
      </c>
      <c r="E31" s="151" t="s">
        <v>9</v>
      </c>
      <c r="F31" s="152">
        <v>50</v>
      </c>
      <c r="G31" s="152">
        <v>1000</v>
      </c>
    </row>
    <row r="32" spans="1:7" ht="15.75" x14ac:dyDescent="0.3">
      <c r="A32" s="148" t="s">
        <v>142</v>
      </c>
      <c r="B32" s="149">
        <v>1135511</v>
      </c>
      <c r="C32" s="148" t="s">
        <v>487</v>
      </c>
      <c r="D32" s="150">
        <v>0.12</v>
      </c>
      <c r="E32" s="151" t="s">
        <v>9</v>
      </c>
      <c r="F32" s="152">
        <v>200</v>
      </c>
      <c r="G32" s="152">
        <v>1600</v>
      </c>
    </row>
    <row r="33" spans="1:7" ht="15.75" x14ac:dyDescent="0.3">
      <c r="A33" s="148" t="s">
        <v>142</v>
      </c>
      <c r="B33" s="149">
        <v>1135512</v>
      </c>
      <c r="C33" s="148" t="s">
        <v>488</v>
      </c>
      <c r="D33" s="150">
        <v>0.15</v>
      </c>
      <c r="E33" s="151" t="s">
        <v>9</v>
      </c>
      <c r="F33" s="152">
        <v>200</v>
      </c>
      <c r="G33" s="152">
        <v>1600</v>
      </c>
    </row>
    <row r="34" spans="1:7" ht="15.75" x14ac:dyDescent="0.3">
      <c r="A34" s="148" t="s">
        <v>142</v>
      </c>
      <c r="B34" s="149">
        <v>1135513</v>
      </c>
      <c r="C34" s="148" t="s">
        <v>489</v>
      </c>
      <c r="D34" s="150">
        <v>0.18</v>
      </c>
      <c r="E34" s="151" t="s">
        <v>9</v>
      </c>
      <c r="F34" s="152">
        <v>200</v>
      </c>
      <c r="G34" s="152">
        <v>1200</v>
      </c>
    </row>
    <row r="35" spans="1:7" ht="15.75" x14ac:dyDescent="0.3">
      <c r="A35" s="148" t="s">
        <v>142</v>
      </c>
      <c r="B35" s="149">
        <v>1135514</v>
      </c>
      <c r="C35" s="148" t="s">
        <v>490</v>
      </c>
      <c r="D35" s="150">
        <v>0.17</v>
      </c>
      <c r="E35" s="151" t="s">
        <v>9</v>
      </c>
      <c r="F35" s="152">
        <v>200</v>
      </c>
      <c r="G35" s="152">
        <v>800</v>
      </c>
    </row>
    <row r="36" spans="1:7" ht="15.75" x14ac:dyDescent="0.3">
      <c r="A36" s="148" t="s">
        <v>142</v>
      </c>
      <c r="B36" s="149">
        <v>1013142</v>
      </c>
      <c r="C36" s="148" t="s">
        <v>491</v>
      </c>
      <c r="D36" s="150">
        <v>1.02</v>
      </c>
      <c r="E36" s="151" t="s">
        <v>9</v>
      </c>
      <c r="F36" s="152">
        <v>100</v>
      </c>
      <c r="G36" s="152">
        <v>20400</v>
      </c>
    </row>
    <row r="37" spans="1:7" ht="15.75" x14ac:dyDescent="0.3">
      <c r="A37" s="148" t="s">
        <v>142</v>
      </c>
      <c r="B37" s="149">
        <v>1013144</v>
      </c>
      <c r="C37" s="148" t="s">
        <v>492</v>
      </c>
      <c r="D37" s="150">
        <v>1.21</v>
      </c>
      <c r="E37" s="151" t="s">
        <v>9</v>
      </c>
      <c r="F37" s="152">
        <v>50</v>
      </c>
      <c r="G37" s="152">
        <v>10200</v>
      </c>
    </row>
    <row r="38" spans="1:7" ht="15.75" x14ac:dyDescent="0.3">
      <c r="A38" s="148" t="s">
        <v>142</v>
      </c>
      <c r="B38" s="149">
        <v>1013145</v>
      </c>
      <c r="C38" s="148" t="s">
        <v>493</v>
      </c>
      <c r="D38" s="150">
        <v>1.56</v>
      </c>
      <c r="E38" s="151" t="s">
        <v>9</v>
      </c>
      <c r="F38" s="152">
        <v>50</v>
      </c>
      <c r="G38" s="152">
        <v>10200</v>
      </c>
    </row>
    <row r="39" spans="1:7" ht="15.75" x14ac:dyDescent="0.3">
      <c r="A39" s="148" t="s">
        <v>142</v>
      </c>
      <c r="B39" s="149">
        <v>1013146</v>
      </c>
      <c r="C39" s="148" t="s">
        <v>494</v>
      </c>
      <c r="D39" s="150">
        <v>1.69</v>
      </c>
      <c r="E39" s="151" t="s">
        <v>9</v>
      </c>
      <c r="F39" s="152">
        <v>50</v>
      </c>
      <c r="G39" s="152">
        <v>500</v>
      </c>
    </row>
    <row r="40" spans="1:7" ht="15.75" x14ac:dyDescent="0.3">
      <c r="A40" s="148" t="s">
        <v>142</v>
      </c>
      <c r="B40" s="149">
        <v>1135502</v>
      </c>
      <c r="C40" s="148" t="s">
        <v>495</v>
      </c>
      <c r="D40" s="150">
        <v>0.15</v>
      </c>
      <c r="E40" s="151" t="s">
        <v>9</v>
      </c>
      <c r="F40" s="152">
        <v>50</v>
      </c>
      <c r="G40" s="152">
        <v>1350</v>
      </c>
    </row>
    <row r="41" spans="1:7" ht="15.75" x14ac:dyDescent="0.3">
      <c r="A41" s="148" t="s">
        <v>142</v>
      </c>
      <c r="B41" s="149">
        <v>1135503</v>
      </c>
      <c r="C41" s="148" t="s">
        <v>496</v>
      </c>
      <c r="D41" s="150">
        <v>0.17</v>
      </c>
      <c r="E41" s="151" t="s">
        <v>9</v>
      </c>
      <c r="F41" s="152">
        <v>50</v>
      </c>
      <c r="G41" s="152">
        <v>900</v>
      </c>
    </row>
    <row r="42" spans="1:7" ht="15.75" x14ac:dyDescent="0.3">
      <c r="A42" s="148" t="s">
        <v>142</v>
      </c>
      <c r="B42" s="149">
        <v>1135504</v>
      </c>
      <c r="C42" s="148" t="s">
        <v>497</v>
      </c>
      <c r="D42" s="150">
        <v>0.23</v>
      </c>
      <c r="E42" s="151" t="s">
        <v>9</v>
      </c>
      <c r="F42" s="152">
        <v>50</v>
      </c>
      <c r="G42" s="152">
        <v>400</v>
      </c>
    </row>
    <row r="43" spans="1:7" ht="15.75" x14ac:dyDescent="0.3">
      <c r="A43" s="148" t="s">
        <v>142</v>
      </c>
      <c r="B43" s="149">
        <v>1135505</v>
      </c>
      <c r="C43" s="148" t="s">
        <v>498</v>
      </c>
      <c r="D43" s="150">
        <v>0.27</v>
      </c>
      <c r="E43" s="151" t="s">
        <v>9</v>
      </c>
      <c r="F43" s="152">
        <v>50</v>
      </c>
      <c r="G43" s="152">
        <v>400</v>
      </c>
    </row>
    <row r="44" spans="1:7" ht="15.75" x14ac:dyDescent="0.3">
      <c r="A44" s="148" t="s">
        <v>142</v>
      </c>
      <c r="B44" s="149">
        <v>1135506</v>
      </c>
      <c r="C44" s="148" t="s">
        <v>499</v>
      </c>
      <c r="D44" s="150">
        <v>0.48</v>
      </c>
      <c r="E44" s="151" t="s">
        <v>9</v>
      </c>
      <c r="F44" s="152">
        <v>40</v>
      </c>
      <c r="G44" s="152">
        <v>320</v>
      </c>
    </row>
    <row r="45" spans="1:7" ht="15.75" x14ac:dyDescent="0.3">
      <c r="A45" s="148" t="s">
        <v>142</v>
      </c>
      <c r="B45" s="149">
        <v>1135507</v>
      </c>
      <c r="C45" s="148" t="s">
        <v>500</v>
      </c>
      <c r="D45" s="150">
        <v>0.62</v>
      </c>
      <c r="E45" s="151" t="s">
        <v>9</v>
      </c>
      <c r="F45" s="152">
        <v>25</v>
      </c>
      <c r="G45" s="152">
        <v>200</v>
      </c>
    </row>
    <row r="46" spans="1:7" ht="15.75" x14ac:dyDescent="0.3">
      <c r="A46" s="148" t="s">
        <v>142</v>
      </c>
      <c r="B46" s="149">
        <v>1135508</v>
      </c>
      <c r="C46" s="148" t="s">
        <v>501</v>
      </c>
      <c r="D46" s="150">
        <v>0.31</v>
      </c>
      <c r="E46" s="151" t="s">
        <v>9</v>
      </c>
      <c r="F46" s="152">
        <v>40</v>
      </c>
      <c r="G46" s="152">
        <v>720</v>
      </c>
    </row>
    <row r="47" spans="1:7" ht="15.75" x14ac:dyDescent="0.3">
      <c r="A47" s="148" t="s">
        <v>142</v>
      </c>
      <c r="B47" s="149">
        <v>1135509</v>
      </c>
      <c r="C47" s="148" t="s">
        <v>502</v>
      </c>
      <c r="D47" s="150">
        <v>0.38</v>
      </c>
      <c r="E47" s="151" t="s">
        <v>9</v>
      </c>
      <c r="F47" s="152">
        <v>40</v>
      </c>
      <c r="G47" s="152">
        <v>320</v>
      </c>
    </row>
    <row r="48" spans="1:7" ht="15.75" x14ac:dyDescent="0.3">
      <c r="A48" s="148" t="s">
        <v>142</v>
      </c>
      <c r="B48" s="149">
        <v>1135510</v>
      </c>
      <c r="C48" s="148" t="s">
        <v>503</v>
      </c>
      <c r="D48" s="150">
        <v>0.6</v>
      </c>
      <c r="E48" s="151" t="s">
        <v>9</v>
      </c>
      <c r="F48" s="152">
        <v>40</v>
      </c>
      <c r="G48" s="152">
        <v>320</v>
      </c>
    </row>
    <row r="49" spans="1:7" ht="15.75" x14ac:dyDescent="0.3">
      <c r="A49" s="148" t="s">
        <v>143</v>
      </c>
      <c r="B49" s="149">
        <v>1039929</v>
      </c>
      <c r="C49" s="148" t="s">
        <v>504</v>
      </c>
      <c r="D49" s="150">
        <v>5.77</v>
      </c>
      <c r="E49" s="151" t="s">
        <v>9</v>
      </c>
      <c r="F49" s="152">
        <v>20</v>
      </c>
      <c r="G49" s="152">
        <v>80</v>
      </c>
    </row>
    <row r="50" spans="1:7" ht="15.75" x14ac:dyDescent="0.3">
      <c r="A50" s="148" t="s">
        <v>143</v>
      </c>
      <c r="B50" s="149">
        <v>1039930</v>
      </c>
      <c r="C50" s="148" t="s">
        <v>505</v>
      </c>
      <c r="D50" s="150">
        <v>7.46</v>
      </c>
      <c r="E50" s="151" t="s">
        <v>9</v>
      </c>
      <c r="F50" s="152">
        <v>10</v>
      </c>
      <c r="G50" s="152">
        <v>80</v>
      </c>
    </row>
    <row r="51" spans="1:7" ht="15.75" x14ac:dyDescent="0.3">
      <c r="A51" s="148" t="s">
        <v>143</v>
      </c>
      <c r="B51" s="149">
        <v>1039931</v>
      </c>
      <c r="C51" s="148" t="s">
        <v>506</v>
      </c>
      <c r="D51" s="150">
        <v>11.54</v>
      </c>
      <c r="E51" s="151" t="s">
        <v>9</v>
      </c>
      <c r="F51" s="152">
        <v>10</v>
      </c>
      <c r="G51" s="152">
        <v>80</v>
      </c>
    </row>
    <row r="52" spans="1:7" ht="15.75" x14ac:dyDescent="0.3">
      <c r="A52" s="148" t="s">
        <v>143</v>
      </c>
      <c r="B52" s="149">
        <v>1039932</v>
      </c>
      <c r="C52" s="148" t="s">
        <v>507</v>
      </c>
      <c r="D52" s="150">
        <v>15.37</v>
      </c>
      <c r="E52" s="151" t="s">
        <v>9</v>
      </c>
      <c r="F52" s="152">
        <v>5</v>
      </c>
      <c r="G52" s="152">
        <v>20</v>
      </c>
    </row>
    <row r="53" spans="1:7" ht="15.75" x14ac:dyDescent="0.3">
      <c r="A53" s="148" t="s">
        <v>143</v>
      </c>
      <c r="B53" s="149">
        <v>1046386</v>
      </c>
      <c r="C53" s="148" t="s">
        <v>508</v>
      </c>
      <c r="D53" s="150">
        <v>31.64</v>
      </c>
      <c r="E53" s="151" t="s">
        <v>9</v>
      </c>
      <c r="F53" s="152">
        <v>5</v>
      </c>
      <c r="G53" s="152">
        <v>960</v>
      </c>
    </row>
    <row r="54" spans="1:7" ht="15.75" x14ac:dyDescent="0.3">
      <c r="A54" s="148" t="s">
        <v>143</v>
      </c>
      <c r="B54" s="149">
        <v>1046387</v>
      </c>
      <c r="C54" s="148" t="s">
        <v>509</v>
      </c>
      <c r="D54" s="150">
        <v>43.53</v>
      </c>
      <c r="E54" s="151" t="s">
        <v>9</v>
      </c>
      <c r="F54" s="152">
        <v>3</v>
      </c>
      <c r="G54" s="152">
        <v>576</v>
      </c>
    </row>
    <row r="55" spans="1:7" ht="15.75" x14ac:dyDescent="0.3">
      <c r="A55" s="148" t="s">
        <v>143</v>
      </c>
      <c r="B55" s="149">
        <v>1032877</v>
      </c>
      <c r="C55" s="148" t="s">
        <v>510</v>
      </c>
      <c r="D55" s="150">
        <v>68.180000000000007</v>
      </c>
      <c r="E55" s="151" t="s">
        <v>9</v>
      </c>
      <c r="F55" s="152">
        <v>1</v>
      </c>
      <c r="G55" s="152">
        <v>210</v>
      </c>
    </row>
    <row r="56" spans="1:7" ht="15.75" x14ac:dyDescent="0.3">
      <c r="A56" s="148" t="s">
        <v>143</v>
      </c>
      <c r="B56" s="149">
        <v>1032878</v>
      </c>
      <c r="C56" s="148" t="s">
        <v>511</v>
      </c>
      <c r="D56" s="150">
        <v>105.31</v>
      </c>
      <c r="E56" s="151" t="s">
        <v>9</v>
      </c>
      <c r="F56" s="152">
        <v>1</v>
      </c>
      <c r="G56" s="152">
        <v>210</v>
      </c>
    </row>
    <row r="57" spans="1:7" ht="15.75" x14ac:dyDescent="0.3">
      <c r="A57" s="148" t="s">
        <v>143</v>
      </c>
      <c r="B57" s="149">
        <v>1046388</v>
      </c>
      <c r="C57" s="148" t="s">
        <v>512</v>
      </c>
      <c r="D57" s="150">
        <v>39.58</v>
      </c>
      <c r="E57" s="151" t="s">
        <v>9</v>
      </c>
      <c r="F57" s="152">
        <v>5</v>
      </c>
      <c r="G57" s="152">
        <v>960</v>
      </c>
    </row>
    <row r="58" spans="1:7" ht="15.75" x14ac:dyDescent="0.3">
      <c r="A58" s="148" t="s">
        <v>143</v>
      </c>
      <c r="B58" s="149">
        <v>1046389</v>
      </c>
      <c r="C58" s="148" t="s">
        <v>513</v>
      </c>
      <c r="D58" s="150">
        <v>51.43</v>
      </c>
      <c r="E58" s="151" t="s">
        <v>9</v>
      </c>
      <c r="F58" s="152">
        <v>3</v>
      </c>
      <c r="G58" s="152">
        <v>576</v>
      </c>
    </row>
    <row r="59" spans="1:7" ht="15.75" x14ac:dyDescent="0.3">
      <c r="A59" s="148" t="s">
        <v>143</v>
      </c>
      <c r="B59" s="149">
        <v>1032879</v>
      </c>
      <c r="C59" s="148" t="s">
        <v>514</v>
      </c>
      <c r="D59" s="150">
        <v>69.53</v>
      </c>
      <c r="E59" s="151" t="s">
        <v>9</v>
      </c>
      <c r="F59" s="152">
        <v>1</v>
      </c>
      <c r="G59" s="152">
        <v>192</v>
      </c>
    </row>
    <row r="60" spans="1:7" ht="15.75" x14ac:dyDescent="0.3">
      <c r="A60" s="148" t="s">
        <v>143</v>
      </c>
      <c r="B60" s="149">
        <v>1032880</v>
      </c>
      <c r="C60" s="148" t="s">
        <v>515</v>
      </c>
      <c r="D60" s="150">
        <v>115.81</v>
      </c>
      <c r="E60" s="151" t="s">
        <v>9</v>
      </c>
      <c r="F60" s="152">
        <v>1</v>
      </c>
      <c r="G60" s="152">
        <v>192</v>
      </c>
    </row>
    <row r="61" spans="1:7" ht="15.75" x14ac:dyDescent="0.3">
      <c r="A61" s="148" t="s">
        <v>143</v>
      </c>
      <c r="B61" s="149">
        <v>1039933</v>
      </c>
      <c r="C61" s="148" t="s">
        <v>516</v>
      </c>
      <c r="D61" s="150">
        <v>4.95</v>
      </c>
      <c r="E61" s="151" t="s">
        <v>9</v>
      </c>
      <c r="F61" s="152">
        <v>20</v>
      </c>
      <c r="G61" s="152">
        <v>80</v>
      </c>
    </row>
    <row r="62" spans="1:7" ht="15.75" x14ac:dyDescent="0.3">
      <c r="A62" s="148" t="s">
        <v>143</v>
      </c>
      <c r="B62" s="149">
        <v>1039934</v>
      </c>
      <c r="C62" s="148" t="s">
        <v>517</v>
      </c>
      <c r="D62" s="150">
        <v>6.94</v>
      </c>
      <c r="E62" s="151" t="s">
        <v>9</v>
      </c>
      <c r="F62" s="152">
        <v>10</v>
      </c>
      <c r="G62" s="152">
        <v>80</v>
      </c>
    </row>
    <row r="63" spans="1:7" ht="15.75" x14ac:dyDescent="0.3">
      <c r="A63" s="148" t="s">
        <v>143</v>
      </c>
      <c r="B63" s="149">
        <v>1039935</v>
      </c>
      <c r="C63" s="148" t="s">
        <v>518</v>
      </c>
      <c r="D63" s="150">
        <v>10.76</v>
      </c>
      <c r="E63" s="151" t="s">
        <v>9</v>
      </c>
      <c r="F63" s="152">
        <v>10</v>
      </c>
      <c r="G63" s="152">
        <v>80</v>
      </c>
    </row>
    <row r="64" spans="1:7" ht="15.75" x14ac:dyDescent="0.3">
      <c r="A64" s="148" t="s">
        <v>143</v>
      </c>
      <c r="B64" s="149">
        <v>1039936</v>
      </c>
      <c r="C64" s="148" t="s">
        <v>519</v>
      </c>
      <c r="D64" s="150">
        <v>14.53</v>
      </c>
      <c r="E64" s="151" t="s">
        <v>9</v>
      </c>
      <c r="F64" s="152">
        <v>10</v>
      </c>
      <c r="G64" s="152">
        <v>80</v>
      </c>
    </row>
    <row r="65" spans="1:7" ht="15.75" x14ac:dyDescent="0.3">
      <c r="A65" s="148" t="s">
        <v>143</v>
      </c>
      <c r="B65" s="149">
        <v>1046401</v>
      </c>
      <c r="C65" s="148" t="s">
        <v>520</v>
      </c>
      <c r="D65" s="150">
        <v>26.11</v>
      </c>
      <c r="E65" s="151" t="s">
        <v>9</v>
      </c>
      <c r="F65" s="152">
        <v>5</v>
      </c>
      <c r="G65" s="152">
        <v>960</v>
      </c>
    </row>
    <row r="66" spans="1:7" ht="15.75" x14ac:dyDescent="0.3">
      <c r="A66" s="148" t="s">
        <v>143</v>
      </c>
      <c r="B66" s="149">
        <v>1046402</v>
      </c>
      <c r="C66" s="148" t="s">
        <v>521</v>
      </c>
      <c r="D66" s="150">
        <v>30.86</v>
      </c>
      <c r="E66" s="151" t="s">
        <v>9</v>
      </c>
      <c r="F66" s="152">
        <v>3</v>
      </c>
      <c r="G66" s="152">
        <v>576</v>
      </c>
    </row>
    <row r="67" spans="1:7" ht="15.75" x14ac:dyDescent="0.3">
      <c r="A67" s="148" t="s">
        <v>143</v>
      </c>
      <c r="B67" s="149">
        <v>1032881</v>
      </c>
      <c r="C67" s="148" t="s">
        <v>522</v>
      </c>
      <c r="D67" s="150">
        <v>55.18</v>
      </c>
      <c r="E67" s="151" t="s">
        <v>9</v>
      </c>
      <c r="F67" s="152">
        <v>1</v>
      </c>
      <c r="G67" s="152">
        <v>384</v>
      </c>
    </row>
    <row r="68" spans="1:7" ht="15.75" x14ac:dyDescent="0.3">
      <c r="A68" s="148" t="s">
        <v>143</v>
      </c>
      <c r="B68" s="149">
        <v>1032882</v>
      </c>
      <c r="C68" s="148" t="s">
        <v>523</v>
      </c>
      <c r="D68" s="150">
        <v>84.84</v>
      </c>
      <c r="E68" s="151" t="s">
        <v>9</v>
      </c>
      <c r="F68" s="152">
        <v>1</v>
      </c>
      <c r="G68" s="152">
        <v>384</v>
      </c>
    </row>
    <row r="69" spans="1:7" ht="15.75" x14ac:dyDescent="0.3">
      <c r="A69" s="148" t="s">
        <v>143</v>
      </c>
      <c r="B69" s="149">
        <v>1039937</v>
      </c>
      <c r="C69" s="148" t="s">
        <v>524</v>
      </c>
      <c r="D69" s="150">
        <v>6.94</v>
      </c>
      <c r="E69" s="151" t="s">
        <v>9</v>
      </c>
      <c r="F69" s="152">
        <v>20</v>
      </c>
      <c r="G69" s="152">
        <v>80</v>
      </c>
    </row>
    <row r="70" spans="1:7" ht="15.75" x14ac:dyDescent="0.3">
      <c r="A70" s="148" t="s">
        <v>143</v>
      </c>
      <c r="B70" s="149">
        <v>1039938</v>
      </c>
      <c r="C70" s="148" t="s">
        <v>525</v>
      </c>
      <c r="D70" s="150">
        <v>10.76</v>
      </c>
      <c r="E70" s="151" t="s">
        <v>9</v>
      </c>
      <c r="F70" s="152">
        <v>10</v>
      </c>
      <c r="G70" s="152">
        <v>80</v>
      </c>
    </row>
    <row r="71" spans="1:7" ht="15.75" x14ac:dyDescent="0.3">
      <c r="A71" s="148" t="s">
        <v>143</v>
      </c>
      <c r="B71" s="149">
        <v>1039939</v>
      </c>
      <c r="C71" s="148" t="s">
        <v>526</v>
      </c>
      <c r="D71" s="150">
        <v>10.76</v>
      </c>
      <c r="E71" s="151" t="s">
        <v>9</v>
      </c>
      <c r="F71" s="152">
        <v>10</v>
      </c>
      <c r="G71" s="152">
        <v>80</v>
      </c>
    </row>
    <row r="72" spans="1:7" ht="15.75" x14ac:dyDescent="0.3">
      <c r="A72" s="148" t="s">
        <v>143</v>
      </c>
      <c r="B72" s="149">
        <v>1039940</v>
      </c>
      <c r="C72" s="148" t="s">
        <v>527</v>
      </c>
      <c r="D72" s="150">
        <v>14.53</v>
      </c>
      <c r="E72" s="151" t="s">
        <v>9</v>
      </c>
      <c r="F72" s="152">
        <v>10</v>
      </c>
      <c r="G72" s="152">
        <v>80</v>
      </c>
    </row>
    <row r="73" spans="1:7" ht="15.75" x14ac:dyDescent="0.3">
      <c r="A73" s="148" t="s">
        <v>143</v>
      </c>
      <c r="B73" s="149">
        <v>1039941</v>
      </c>
      <c r="C73" s="148" t="s">
        <v>528</v>
      </c>
      <c r="D73" s="150">
        <v>23.34</v>
      </c>
      <c r="E73" s="151" t="s">
        <v>9</v>
      </c>
      <c r="F73" s="152">
        <v>5</v>
      </c>
      <c r="G73" s="152">
        <v>960</v>
      </c>
    </row>
    <row r="74" spans="1:7" ht="15.75" x14ac:dyDescent="0.3">
      <c r="A74" s="148" t="s">
        <v>143</v>
      </c>
      <c r="B74" s="149">
        <v>1039942</v>
      </c>
      <c r="C74" s="148" t="s">
        <v>529</v>
      </c>
      <c r="D74" s="150">
        <v>23.34</v>
      </c>
      <c r="E74" s="151" t="s">
        <v>9</v>
      </c>
      <c r="F74" s="152">
        <v>5</v>
      </c>
      <c r="G74" s="152">
        <v>960</v>
      </c>
    </row>
    <row r="75" spans="1:7" ht="15.75" x14ac:dyDescent="0.3">
      <c r="A75" s="148" t="s">
        <v>143</v>
      </c>
      <c r="B75" s="149">
        <v>1039943</v>
      </c>
      <c r="C75" s="148" t="s">
        <v>530</v>
      </c>
      <c r="D75" s="150">
        <v>34.82</v>
      </c>
      <c r="E75" s="151" t="s">
        <v>9</v>
      </c>
      <c r="F75" s="152">
        <v>3</v>
      </c>
      <c r="G75" s="152">
        <v>1152</v>
      </c>
    </row>
    <row r="76" spans="1:7" ht="15.75" x14ac:dyDescent="0.3">
      <c r="A76" s="148" t="s">
        <v>143</v>
      </c>
      <c r="B76" s="149">
        <v>1046406</v>
      </c>
      <c r="C76" s="148" t="s">
        <v>531</v>
      </c>
      <c r="D76" s="150">
        <v>34.82</v>
      </c>
      <c r="E76" s="151" t="s">
        <v>9</v>
      </c>
      <c r="F76" s="152">
        <v>3</v>
      </c>
      <c r="G76" s="152">
        <v>576</v>
      </c>
    </row>
    <row r="77" spans="1:7" ht="15.75" x14ac:dyDescent="0.3">
      <c r="A77" s="148" t="s">
        <v>143</v>
      </c>
      <c r="B77" s="149">
        <v>1032883</v>
      </c>
      <c r="C77" s="148" t="s">
        <v>532</v>
      </c>
      <c r="D77" s="150">
        <v>50.71</v>
      </c>
      <c r="E77" s="151" t="s">
        <v>9</v>
      </c>
      <c r="F77" s="152">
        <v>1</v>
      </c>
      <c r="G77" s="152">
        <v>384</v>
      </c>
    </row>
    <row r="78" spans="1:7" ht="15.75" x14ac:dyDescent="0.3">
      <c r="A78" s="148" t="s">
        <v>143</v>
      </c>
      <c r="B78" s="149">
        <v>1032884</v>
      </c>
      <c r="C78" s="148" t="s">
        <v>533</v>
      </c>
      <c r="D78" s="150">
        <v>47.58</v>
      </c>
      <c r="E78" s="151" t="s">
        <v>9</v>
      </c>
      <c r="F78" s="152">
        <v>1</v>
      </c>
      <c r="G78" s="152">
        <v>384</v>
      </c>
    </row>
    <row r="79" spans="1:7" ht="15.75" x14ac:dyDescent="0.3">
      <c r="A79" s="148" t="s">
        <v>143</v>
      </c>
      <c r="B79" s="149">
        <v>1032885</v>
      </c>
      <c r="C79" s="148" t="s">
        <v>534</v>
      </c>
      <c r="D79" s="150">
        <v>85.31</v>
      </c>
      <c r="E79" s="151" t="s">
        <v>9</v>
      </c>
      <c r="F79" s="152">
        <v>1</v>
      </c>
      <c r="G79" s="152">
        <v>384</v>
      </c>
    </row>
    <row r="80" spans="1:7" ht="15.75" x14ac:dyDescent="0.3">
      <c r="A80" s="148" t="s">
        <v>143</v>
      </c>
      <c r="B80" s="149">
        <v>1032886</v>
      </c>
      <c r="C80" s="148" t="s">
        <v>535</v>
      </c>
      <c r="D80" s="150">
        <v>81.319999999999993</v>
      </c>
      <c r="E80" s="151" t="s">
        <v>9</v>
      </c>
      <c r="F80" s="152">
        <v>1</v>
      </c>
      <c r="G80" s="152">
        <v>384</v>
      </c>
    </row>
    <row r="81" spans="1:7" ht="15.75" x14ac:dyDescent="0.3">
      <c r="A81" s="148" t="s">
        <v>143</v>
      </c>
      <c r="B81" s="149">
        <v>1039944</v>
      </c>
      <c r="C81" s="148" t="s">
        <v>536</v>
      </c>
      <c r="D81" s="150">
        <v>7.23</v>
      </c>
      <c r="E81" s="151" t="s">
        <v>9</v>
      </c>
      <c r="F81" s="152">
        <v>10</v>
      </c>
      <c r="G81" s="152">
        <v>80</v>
      </c>
    </row>
    <row r="82" spans="1:7" ht="15.75" x14ac:dyDescent="0.3">
      <c r="A82" s="148" t="s">
        <v>143</v>
      </c>
      <c r="B82" s="149">
        <v>1039945</v>
      </c>
      <c r="C82" s="148" t="s">
        <v>537</v>
      </c>
      <c r="D82" s="150">
        <v>11.54</v>
      </c>
      <c r="E82" s="151" t="s">
        <v>9</v>
      </c>
      <c r="F82" s="152">
        <v>10</v>
      </c>
      <c r="G82" s="152">
        <v>80</v>
      </c>
    </row>
    <row r="83" spans="1:7" ht="15.75" x14ac:dyDescent="0.3">
      <c r="A83" s="148" t="s">
        <v>143</v>
      </c>
      <c r="B83" s="149">
        <v>1039946</v>
      </c>
      <c r="C83" s="148" t="s">
        <v>538</v>
      </c>
      <c r="D83" s="150">
        <v>16.87</v>
      </c>
      <c r="E83" s="151" t="s">
        <v>9</v>
      </c>
      <c r="F83" s="152">
        <v>5</v>
      </c>
      <c r="G83" s="152">
        <v>20</v>
      </c>
    </row>
    <row r="84" spans="1:7" ht="15.75" x14ac:dyDescent="0.3">
      <c r="A84" s="148" t="s">
        <v>143</v>
      </c>
      <c r="B84" s="149">
        <v>1039947</v>
      </c>
      <c r="C84" s="148" t="s">
        <v>539</v>
      </c>
      <c r="D84" s="150">
        <v>25.62</v>
      </c>
      <c r="E84" s="151" t="s">
        <v>9</v>
      </c>
      <c r="F84" s="152">
        <v>5</v>
      </c>
      <c r="G84" s="152">
        <v>20</v>
      </c>
    </row>
    <row r="85" spans="1:7" ht="15.75" x14ac:dyDescent="0.3">
      <c r="A85" s="148" t="s">
        <v>143</v>
      </c>
      <c r="B85" s="149">
        <v>1046390</v>
      </c>
      <c r="C85" s="148" t="s">
        <v>540</v>
      </c>
      <c r="D85" s="150">
        <v>47.5</v>
      </c>
      <c r="E85" s="151" t="s">
        <v>9</v>
      </c>
      <c r="F85" s="152">
        <v>5</v>
      </c>
      <c r="G85" s="152">
        <v>720</v>
      </c>
    </row>
    <row r="86" spans="1:7" ht="15.75" x14ac:dyDescent="0.3">
      <c r="A86" s="148" t="s">
        <v>143</v>
      </c>
      <c r="B86" s="149">
        <v>1046391</v>
      </c>
      <c r="C86" s="148" t="s">
        <v>541</v>
      </c>
      <c r="D86" s="150">
        <v>55.42</v>
      </c>
      <c r="E86" s="151" t="s">
        <v>9</v>
      </c>
      <c r="F86" s="152">
        <v>3</v>
      </c>
      <c r="G86" s="152">
        <v>288</v>
      </c>
    </row>
    <row r="87" spans="1:7" ht="15.75" x14ac:dyDescent="0.3">
      <c r="A87" s="148" t="s">
        <v>143</v>
      </c>
      <c r="B87" s="149">
        <v>1032887</v>
      </c>
      <c r="C87" s="148" t="s">
        <v>542</v>
      </c>
      <c r="D87" s="150">
        <v>96.84</v>
      </c>
      <c r="E87" s="151" t="s">
        <v>9</v>
      </c>
      <c r="F87" s="152">
        <v>1</v>
      </c>
      <c r="G87" s="152">
        <v>150</v>
      </c>
    </row>
    <row r="88" spans="1:7" ht="15.75" x14ac:dyDescent="0.3">
      <c r="A88" s="148" t="s">
        <v>143</v>
      </c>
      <c r="B88" s="149">
        <v>1032888</v>
      </c>
      <c r="C88" s="148" t="s">
        <v>543</v>
      </c>
      <c r="D88" s="150">
        <v>161.68</v>
      </c>
      <c r="E88" s="151" t="s">
        <v>9</v>
      </c>
      <c r="F88" s="152">
        <v>1</v>
      </c>
      <c r="G88" s="152">
        <v>150</v>
      </c>
    </row>
    <row r="89" spans="1:7" ht="15.75" x14ac:dyDescent="0.3">
      <c r="A89" s="148" t="s">
        <v>143</v>
      </c>
      <c r="B89" s="149">
        <v>1039948</v>
      </c>
      <c r="C89" s="148" t="s">
        <v>544</v>
      </c>
      <c r="D89" s="150">
        <v>11.54</v>
      </c>
      <c r="E89" s="151" t="s">
        <v>9</v>
      </c>
      <c r="F89" s="152">
        <v>10</v>
      </c>
      <c r="G89" s="152">
        <v>80</v>
      </c>
    </row>
    <row r="90" spans="1:7" ht="15.75" x14ac:dyDescent="0.3">
      <c r="A90" s="148" t="s">
        <v>143</v>
      </c>
      <c r="B90" s="149">
        <v>1039949</v>
      </c>
      <c r="C90" s="148" t="s">
        <v>545</v>
      </c>
      <c r="D90" s="150">
        <v>11.54</v>
      </c>
      <c r="E90" s="151" t="s">
        <v>9</v>
      </c>
      <c r="F90" s="152">
        <v>10</v>
      </c>
      <c r="G90" s="152">
        <v>80</v>
      </c>
    </row>
    <row r="91" spans="1:7" ht="15.75" x14ac:dyDescent="0.3">
      <c r="A91" s="148" t="s">
        <v>143</v>
      </c>
      <c r="B91" s="149">
        <v>1039950</v>
      </c>
      <c r="C91" s="148" t="s">
        <v>546</v>
      </c>
      <c r="D91" s="150">
        <v>11.54</v>
      </c>
      <c r="E91" s="151" t="s">
        <v>9</v>
      </c>
      <c r="F91" s="152">
        <v>10</v>
      </c>
      <c r="G91" s="152">
        <v>80</v>
      </c>
    </row>
    <row r="92" spans="1:7" ht="15.75" x14ac:dyDescent="0.3">
      <c r="A92" s="148" t="s">
        <v>143</v>
      </c>
      <c r="B92" s="149">
        <v>1039951</v>
      </c>
      <c r="C92" s="148" t="s">
        <v>547</v>
      </c>
      <c r="D92" s="150">
        <v>11.54</v>
      </c>
      <c r="E92" s="151" t="s">
        <v>9</v>
      </c>
      <c r="F92" s="152">
        <v>10</v>
      </c>
      <c r="G92" s="152">
        <v>80</v>
      </c>
    </row>
    <row r="93" spans="1:7" ht="15.75" x14ac:dyDescent="0.3">
      <c r="A93" s="148" t="s">
        <v>143</v>
      </c>
      <c r="B93" s="149">
        <v>1039952</v>
      </c>
      <c r="C93" s="148" t="s">
        <v>548</v>
      </c>
      <c r="D93" s="150">
        <v>15.37</v>
      </c>
      <c r="E93" s="151" t="s">
        <v>9</v>
      </c>
      <c r="F93" s="152">
        <v>10</v>
      </c>
      <c r="G93" s="152">
        <v>80</v>
      </c>
    </row>
    <row r="94" spans="1:7" ht="15.75" x14ac:dyDescent="0.3">
      <c r="A94" s="148" t="s">
        <v>143</v>
      </c>
      <c r="B94" s="149">
        <v>1039953</v>
      </c>
      <c r="C94" s="148" t="s">
        <v>549</v>
      </c>
      <c r="D94" s="150">
        <v>16.87</v>
      </c>
      <c r="E94" s="151" t="s">
        <v>9</v>
      </c>
      <c r="F94" s="152">
        <v>10</v>
      </c>
      <c r="G94" s="152">
        <v>80</v>
      </c>
    </row>
    <row r="95" spans="1:7" ht="15.75" x14ac:dyDescent="0.3">
      <c r="A95" s="148" t="s">
        <v>143</v>
      </c>
      <c r="B95" s="149">
        <v>1039954</v>
      </c>
      <c r="C95" s="148" t="s">
        <v>550</v>
      </c>
      <c r="D95" s="150">
        <v>16.87</v>
      </c>
      <c r="E95" s="151" t="s">
        <v>9</v>
      </c>
      <c r="F95" s="152">
        <v>10</v>
      </c>
      <c r="G95" s="152">
        <v>80</v>
      </c>
    </row>
    <row r="96" spans="1:7" ht="15.75" x14ac:dyDescent="0.3">
      <c r="A96" s="148" t="s">
        <v>143</v>
      </c>
      <c r="B96" s="149">
        <v>1039955</v>
      </c>
      <c r="C96" s="148" t="s">
        <v>551</v>
      </c>
      <c r="D96" s="150">
        <v>16.87</v>
      </c>
      <c r="E96" s="151" t="s">
        <v>9</v>
      </c>
      <c r="F96" s="152">
        <v>10</v>
      </c>
      <c r="G96" s="152">
        <v>80</v>
      </c>
    </row>
    <row r="97" spans="1:7" ht="15.75" x14ac:dyDescent="0.3">
      <c r="A97" s="148" t="s">
        <v>143</v>
      </c>
      <c r="B97" s="149">
        <v>1039956</v>
      </c>
      <c r="C97" s="148" t="s">
        <v>552</v>
      </c>
      <c r="D97" s="150">
        <v>16.87</v>
      </c>
      <c r="E97" s="151" t="s">
        <v>9</v>
      </c>
      <c r="F97" s="152">
        <v>10</v>
      </c>
      <c r="G97" s="152">
        <v>80</v>
      </c>
    </row>
    <row r="98" spans="1:7" ht="15.75" x14ac:dyDescent="0.3">
      <c r="A98" s="148" t="s">
        <v>143</v>
      </c>
      <c r="B98" s="149">
        <v>1039957</v>
      </c>
      <c r="C98" s="148" t="s">
        <v>553</v>
      </c>
      <c r="D98" s="150">
        <v>16.87</v>
      </c>
      <c r="E98" s="151" t="s">
        <v>9</v>
      </c>
      <c r="F98" s="152">
        <v>10</v>
      </c>
      <c r="G98" s="152">
        <v>80</v>
      </c>
    </row>
    <row r="99" spans="1:7" ht="15.75" x14ac:dyDescent="0.3">
      <c r="A99" s="148" t="s">
        <v>143</v>
      </c>
      <c r="B99" s="149">
        <v>1039958</v>
      </c>
      <c r="C99" s="148" t="s">
        <v>554</v>
      </c>
      <c r="D99" s="150">
        <v>25.62</v>
      </c>
      <c r="E99" s="151" t="s">
        <v>9</v>
      </c>
      <c r="F99" s="152">
        <v>5</v>
      </c>
      <c r="G99" s="152">
        <v>20</v>
      </c>
    </row>
    <row r="100" spans="1:7" ht="15.75" x14ac:dyDescent="0.3">
      <c r="A100" s="148" t="s">
        <v>143</v>
      </c>
      <c r="B100" s="149">
        <v>1039959</v>
      </c>
      <c r="C100" s="148" t="s">
        <v>555</v>
      </c>
      <c r="D100" s="150">
        <v>25.62</v>
      </c>
      <c r="E100" s="151" t="s">
        <v>9</v>
      </c>
      <c r="F100" s="152">
        <v>5</v>
      </c>
      <c r="G100" s="152">
        <v>20</v>
      </c>
    </row>
    <row r="101" spans="1:7" ht="15.75" x14ac:dyDescent="0.3">
      <c r="A101" s="148" t="s">
        <v>143</v>
      </c>
      <c r="B101" s="149">
        <v>1039960</v>
      </c>
      <c r="C101" s="148" t="s">
        <v>556</v>
      </c>
      <c r="D101" s="150">
        <v>25.62</v>
      </c>
      <c r="E101" s="151" t="s">
        <v>9</v>
      </c>
      <c r="F101" s="152">
        <v>5</v>
      </c>
      <c r="G101" s="152">
        <v>20</v>
      </c>
    </row>
    <row r="102" spans="1:7" ht="15.75" x14ac:dyDescent="0.3">
      <c r="A102" s="148" t="s">
        <v>143</v>
      </c>
      <c r="B102" s="149">
        <v>1039961</v>
      </c>
      <c r="C102" s="148" t="s">
        <v>557</v>
      </c>
      <c r="D102" s="150">
        <v>25.62</v>
      </c>
      <c r="E102" s="151" t="s">
        <v>9</v>
      </c>
      <c r="F102" s="152">
        <v>5</v>
      </c>
      <c r="G102" s="152">
        <v>20</v>
      </c>
    </row>
    <row r="103" spans="1:7" ht="15.75" x14ac:dyDescent="0.3">
      <c r="A103" s="148" t="s">
        <v>143</v>
      </c>
      <c r="B103" s="149">
        <v>1039962</v>
      </c>
      <c r="C103" s="148" t="s">
        <v>558</v>
      </c>
      <c r="D103" s="150">
        <v>42.35</v>
      </c>
      <c r="E103" s="151" t="s">
        <v>9</v>
      </c>
      <c r="F103" s="152">
        <v>5</v>
      </c>
      <c r="G103" s="152">
        <v>960</v>
      </c>
    </row>
    <row r="104" spans="1:7" ht="15.75" x14ac:dyDescent="0.3">
      <c r="A104" s="148" t="s">
        <v>143</v>
      </c>
      <c r="B104" s="149">
        <v>1039963</v>
      </c>
      <c r="C104" s="148" t="s">
        <v>559</v>
      </c>
      <c r="D104" s="150">
        <v>42.35</v>
      </c>
      <c r="E104" s="151" t="s">
        <v>9</v>
      </c>
      <c r="F104" s="152">
        <v>5</v>
      </c>
      <c r="G104" s="152">
        <v>960</v>
      </c>
    </row>
    <row r="105" spans="1:7" ht="15.75" x14ac:dyDescent="0.3">
      <c r="A105" s="148" t="s">
        <v>143</v>
      </c>
      <c r="B105" s="149">
        <v>1039964</v>
      </c>
      <c r="C105" s="148" t="s">
        <v>560</v>
      </c>
      <c r="D105" s="150">
        <v>42.35</v>
      </c>
      <c r="E105" s="151" t="s">
        <v>9</v>
      </c>
      <c r="F105" s="152">
        <v>5</v>
      </c>
      <c r="G105" s="152">
        <v>720</v>
      </c>
    </row>
    <row r="106" spans="1:7" ht="15.75" x14ac:dyDescent="0.3">
      <c r="A106" s="148" t="s">
        <v>143</v>
      </c>
      <c r="B106" s="149">
        <v>1039965</v>
      </c>
      <c r="C106" s="148" t="s">
        <v>561</v>
      </c>
      <c r="D106" s="150">
        <v>42.35</v>
      </c>
      <c r="E106" s="151" t="s">
        <v>9</v>
      </c>
      <c r="F106" s="152">
        <v>5</v>
      </c>
      <c r="G106" s="152">
        <v>960</v>
      </c>
    </row>
    <row r="107" spans="1:7" ht="15.75" x14ac:dyDescent="0.3">
      <c r="A107" s="148" t="s">
        <v>143</v>
      </c>
      <c r="B107" s="149">
        <v>1039966</v>
      </c>
      <c r="C107" s="148" t="s">
        <v>562</v>
      </c>
      <c r="D107" s="150">
        <v>42.35</v>
      </c>
      <c r="E107" s="151" t="s">
        <v>9</v>
      </c>
      <c r="F107" s="152">
        <v>5</v>
      </c>
      <c r="G107" s="152">
        <v>720</v>
      </c>
    </row>
    <row r="108" spans="1:7" ht="15.75" x14ac:dyDescent="0.3">
      <c r="A108" s="148" t="s">
        <v>143</v>
      </c>
      <c r="B108" s="149">
        <v>1039967</v>
      </c>
      <c r="C108" s="148" t="s">
        <v>563</v>
      </c>
      <c r="D108" s="150">
        <v>51.43</v>
      </c>
      <c r="E108" s="151" t="s">
        <v>9</v>
      </c>
      <c r="F108" s="152">
        <v>3</v>
      </c>
      <c r="G108" s="152">
        <v>432</v>
      </c>
    </row>
    <row r="109" spans="1:7" ht="15.75" x14ac:dyDescent="0.3">
      <c r="A109" s="148" t="s">
        <v>143</v>
      </c>
      <c r="B109" s="149">
        <v>1039968</v>
      </c>
      <c r="C109" s="148" t="s">
        <v>564</v>
      </c>
      <c r="D109" s="150">
        <v>51.43</v>
      </c>
      <c r="E109" s="151" t="s">
        <v>9</v>
      </c>
      <c r="F109" s="152">
        <v>3</v>
      </c>
      <c r="G109" s="152">
        <v>432</v>
      </c>
    </row>
    <row r="110" spans="1:7" ht="15.75" x14ac:dyDescent="0.3">
      <c r="A110" s="148" t="s">
        <v>143</v>
      </c>
      <c r="B110" s="149">
        <v>1039969</v>
      </c>
      <c r="C110" s="148" t="s">
        <v>565</v>
      </c>
      <c r="D110" s="150">
        <v>51.43</v>
      </c>
      <c r="E110" s="151" t="s">
        <v>9</v>
      </c>
      <c r="F110" s="152">
        <v>3</v>
      </c>
      <c r="G110" s="152">
        <v>432</v>
      </c>
    </row>
    <row r="111" spans="1:7" ht="15.75" x14ac:dyDescent="0.3">
      <c r="A111" s="148" t="s">
        <v>143</v>
      </c>
      <c r="B111" s="149">
        <v>1046400</v>
      </c>
      <c r="C111" s="148" t="s">
        <v>566</v>
      </c>
      <c r="D111" s="150">
        <v>37.4</v>
      </c>
      <c r="E111" s="151" t="s">
        <v>9</v>
      </c>
      <c r="F111" s="152">
        <v>3</v>
      </c>
      <c r="G111" s="152">
        <v>288</v>
      </c>
    </row>
    <row r="112" spans="1:7" ht="15.75" x14ac:dyDescent="0.3">
      <c r="A112" s="148" t="s">
        <v>143</v>
      </c>
      <c r="B112" s="149">
        <v>1032889</v>
      </c>
      <c r="C112" s="148" t="s">
        <v>567</v>
      </c>
      <c r="D112" s="150">
        <v>74.16</v>
      </c>
      <c r="E112" s="151" t="s">
        <v>9</v>
      </c>
      <c r="F112" s="152">
        <v>1</v>
      </c>
      <c r="G112" s="152">
        <v>150</v>
      </c>
    </row>
    <row r="113" spans="1:7" ht="15.75" x14ac:dyDescent="0.3">
      <c r="A113" s="148" t="s">
        <v>143</v>
      </c>
      <c r="B113" s="149">
        <v>1032890</v>
      </c>
      <c r="C113" s="148" t="s">
        <v>568</v>
      </c>
      <c r="D113" s="150">
        <v>76.69</v>
      </c>
      <c r="E113" s="151" t="s">
        <v>9</v>
      </c>
      <c r="F113" s="152">
        <v>1</v>
      </c>
      <c r="G113" s="152">
        <v>150</v>
      </c>
    </row>
    <row r="114" spans="1:7" ht="15.75" x14ac:dyDescent="0.3">
      <c r="A114" s="148" t="s">
        <v>143</v>
      </c>
      <c r="B114" s="149">
        <v>1032891</v>
      </c>
      <c r="C114" s="148" t="s">
        <v>569</v>
      </c>
      <c r="D114" s="150">
        <v>85.75</v>
      </c>
      <c r="E114" s="151" t="s">
        <v>9</v>
      </c>
      <c r="F114" s="152">
        <v>1</v>
      </c>
      <c r="G114" s="152">
        <v>150</v>
      </c>
    </row>
    <row r="115" spans="1:7" ht="15.75" x14ac:dyDescent="0.3">
      <c r="A115" s="148" t="s">
        <v>143</v>
      </c>
      <c r="B115" s="149">
        <v>1032892</v>
      </c>
      <c r="C115" s="148" t="s">
        <v>570</v>
      </c>
      <c r="D115" s="150">
        <v>118.4</v>
      </c>
      <c r="E115" s="151" t="s">
        <v>9</v>
      </c>
      <c r="F115" s="152">
        <v>1</v>
      </c>
      <c r="G115" s="152">
        <v>150</v>
      </c>
    </row>
    <row r="116" spans="1:7" ht="15.75" x14ac:dyDescent="0.3">
      <c r="A116" s="148" t="s">
        <v>143</v>
      </c>
      <c r="B116" s="149">
        <v>1032893</v>
      </c>
      <c r="C116" s="148" t="s">
        <v>571</v>
      </c>
      <c r="D116" s="150">
        <v>129.02000000000001</v>
      </c>
      <c r="E116" s="151" t="s">
        <v>9</v>
      </c>
      <c r="F116" s="152">
        <v>1</v>
      </c>
      <c r="G116" s="152">
        <v>150</v>
      </c>
    </row>
    <row r="117" spans="1:7" ht="15.75" x14ac:dyDescent="0.3">
      <c r="A117" s="148" t="s">
        <v>143</v>
      </c>
      <c r="B117" s="149">
        <v>1032894</v>
      </c>
      <c r="C117" s="148" t="s">
        <v>572</v>
      </c>
      <c r="D117" s="150">
        <v>148.32</v>
      </c>
      <c r="E117" s="151" t="s">
        <v>9</v>
      </c>
      <c r="F117" s="152">
        <v>1</v>
      </c>
      <c r="G117" s="152">
        <v>150</v>
      </c>
    </row>
    <row r="118" spans="1:7" ht="15.75" x14ac:dyDescent="0.3">
      <c r="A118" s="148" t="s">
        <v>143</v>
      </c>
      <c r="B118" s="149">
        <v>1070501</v>
      </c>
      <c r="C118" s="148" t="s">
        <v>573</v>
      </c>
      <c r="D118" s="150">
        <v>6.94</v>
      </c>
      <c r="E118" s="151" t="s">
        <v>9</v>
      </c>
      <c r="F118" s="152">
        <v>20</v>
      </c>
      <c r="G118" s="152">
        <v>80</v>
      </c>
    </row>
    <row r="119" spans="1:7" ht="15.75" x14ac:dyDescent="0.3">
      <c r="A119" s="148" t="s">
        <v>143</v>
      </c>
      <c r="B119" s="149">
        <v>1070502</v>
      </c>
      <c r="C119" s="148" t="s">
        <v>574</v>
      </c>
      <c r="D119" s="150">
        <v>6.94</v>
      </c>
      <c r="E119" s="151" t="s">
        <v>9</v>
      </c>
      <c r="F119" s="152">
        <v>20</v>
      </c>
      <c r="G119" s="152">
        <v>80</v>
      </c>
    </row>
    <row r="120" spans="1:7" ht="15.75" x14ac:dyDescent="0.3">
      <c r="A120" s="148" t="s">
        <v>143</v>
      </c>
      <c r="B120" s="149">
        <v>1070503</v>
      </c>
      <c r="C120" s="148" t="s">
        <v>575</v>
      </c>
      <c r="D120" s="150">
        <v>9.6</v>
      </c>
      <c r="E120" s="151" t="s">
        <v>9</v>
      </c>
      <c r="F120" s="152">
        <v>15</v>
      </c>
      <c r="G120" s="152">
        <v>120</v>
      </c>
    </row>
    <row r="121" spans="1:7" ht="15.75" x14ac:dyDescent="0.3">
      <c r="A121" s="148" t="s">
        <v>143</v>
      </c>
      <c r="B121" s="149">
        <v>1070504</v>
      </c>
      <c r="C121" s="148" t="s">
        <v>576</v>
      </c>
      <c r="D121" s="150">
        <v>9.7899999999999991</v>
      </c>
      <c r="E121" s="151" t="s">
        <v>9</v>
      </c>
      <c r="F121" s="152">
        <v>20</v>
      </c>
      <c r="G121" s="152">
        <v>80</v>
      </c>
    </row>
    <row r="122" spans="1:7" ht="15.75" x14ac:dyDescent="0.3">
      <c r="A122" s="148" t="s">
        <v>143</v>
      </c>
      <c r="B122" s="149">
        <v>1070505</v>
      </c>
      <c r="C122" s="148" t="s">
        <v>577</v>
      </c>
      <c r="D122" s="150">
        <v>9.7899999999999991</v>
      </c>
      <c r="E122" s="151" t="s">
        <v>9</v>
      </c>
      <c r="F122" s="152">
        <v>10</v>
      </c>
      <c r="G122" s="152">
        <v>80</v>
      </c>
    </row>
    <row r="123" spans="1:7" ht="15.75" x14ac:dyDescent="0.3">
      <c r="A123" s="148" t="s">
        <v>143</v>
      </c>
      <c r="B123" s="149">
        <v>1070506</v>
      </c>
      <c r="C123" s="148" t="s">
        <v>578</v>
      </c>
      <c r="D123" s="150">
        <v>14.61</v>
      </c>
      <c r="E123" s="151" t="s">
        <v>9</v>
      </c>
      <c r="F123" s="152">
        <v>10</v>
      </c>
      <c r="G123" s="152">
        <v>80</v>
      </c>
    </row>
    <row r="124" spans="1:7" ht="15.75" x14ac:dyDescent="0.3">
      <c r="A124" s="148" t="s">
        <v>143</v>
      </c>
      <c r="B124" s="149">
        <v>1070507</v>
      </c>
      <c r="C124" s="148" t="s">
        <v>579</v>
      </c>
      <c r="D124" s="150">
        <v>11.54</v>
      </c>
      <c r="E124" s="151" t="s">
        <v>9</v>
      </c>
      <c r="F124" s="152">
        <v>10</v>
      </c>
      <c r="G124" s="152">
        <v>80</v>
      </c>
    </row>
    <row r="125" spans="1:7" ht="15.75" x14ac:dyDescent="0.3">
      <c r="A125" s="148" t="s">
        <v>143</v>
      </c>
      <c r="B125" s="149">
        <v>1070508</v>
      </c>
      <c r="C125" s="148" t="s">
        <v>580</v>
      </c>
      <c r="D125" s="150">
        <v>14.61</v>
      </c>
      <c r="E125" s="151" t="s">
        <v>9</v>
      </c>
      <c r="F125" s="152">
        <v>5</v>
      </c>
      <c r="G125" s="152">
        <v>40</v>
      </c>
    </row>
    <row r="126" spans="1:7" ht="15.75" x14ac:dyDescent="0.3">
      <c r="A126" s="148" t="s">
        <v>143</v>
      </c>
      <c r="B126" s="149">
        <v>1070509</v>
      </c>
      <c r="C126" s="148" t="s">
        <v>581</v>
      </c>
      <c r="D126" s="150">
        <v>16.91</v>
      </c>
      <c r="E126" s="151" t="s">
        <v>9</v>
      </c>
      <c r="F126" s="152">
        <v>5</v>
      </c>
      <c r="G126" s="152">
        <v>40</v>
      </c>
    </row>
    <row r="127" spans="1:7" ht="15.75" x14ac:dyDescent="0.3">
      <c r="A127" s="148" t="s">
        <v>143</v>
      </c>
      <c r="B127" s="149">
        <v>1070510</v>
      </c>
      <c r="C127" s="148" t="s">
        <v>582</v>
      </c>
      <c r="D127" s="150">
        <v>26.52</v>
      </c>
      <c r="E127" s="151" t="s">
        <v>9</v>
      </c>
      <c r="F127" s="152">
        <v>5</v>
      </c>
      <c r="G127" s="152">
        <v>20</v>
      </c>
    </row>
    <row r="128" spans="1:7" ht="15.75" x14ac:dyDescent="0.3">
      <c r="A128" s="148" t="s">
        <v>143</v>
      </c>
      <c r="B128" s="149">
        <v>1091728</v>
      </c>
      <c r="C128" s="148" t="s">
        <v>583</v>
      </c>
      <c r="D128" s="150">
        <v>7.68</v>
      </c>
      <c r="E128" s="151" t="s">
        <v>9</v>
      </c>
      <c r="F128" s="152">
        <v>20</v>
      </c>
      <c r="G128" s="152">
        <v>80</v>
      </c>
    </row>
    <row r="129" spans="1:7" ht="15.75" x14ac:dyDescent="0.3">
      <c r="A129" s="148" t="s">
        <v>143</v>
      </c>
      <c r="B129" s="149">
        <v>1046901</v>
      </c>
      <c r="C129" s="148" t="s">
        <v>584</v>
      </c>
      <c r="D129" s="150">
        <v>33.229999999999997</v>
      </c>
      <c r="E129" s="151" t="s">
        <v>9</v>
      </c>
      <c r="F129" s="152">
        <v>5</v>
      </c>
      <c r="G129" s="152">
        <v>960</v>
      </c>
    </row>
    <row r="130" spans="1:7" ht="15.75" x14ac:dyDescent="0.3">
      <c r="A130" s="148" t="s">
        <v>143</v>
      </c>
      <c r="B130" s="149">
        <v>1046902</v>
      </c>
      <c r="C130" s="148" t="s">
        <v>585</v>
      </c>
      <c r="D130" s="150">
        <v>36.409999999999997</v>
      </c>
      <c r="E130" s="151" t="s">
        <v>9</v>
      </c>
      <c r="F130" s="152">
        <v>5</v>
      </c>
      <c r="G130" s="152">
        <v>960</v>
      </c>
    </row>
    <row r="131" spans="1:7" ht="15.75" x14ac:dyDescent="0.3">
      <c r="A131" s="148" t="s">
        <v>143</v>
      </c>
      <c r="B131" s="149">
        <v>1046905</v>
      </c>
      <c r="C131" s="148" t="s">
        <v>586</v>
      </c>
      <c r="D131" s="150">
        <v>47.5</v>
      </c>
      <c r="E131" s="151" t="s">
        <v>9</v>
      </c>
      <c r="F131" s="152">
        <v>3</v>
      </c>
      <c r="G131" s="152">
        <v>1152</v>
      </c>
    </row>
    <row r="132" spans="1:7" ht="15.75" x14ac:dyDescent="0.3">
      <c r="A132" s="148" t="s">
        <v>143</v>
      </c>
      <c r="B132" s="149">
        <v>1046906</v>
      </c>
      <c r="C132" s="148" t="s">
        <v>587</v>
      </c>
      <c r="D132" s="150">
        <v>61.72</v>
      </c>
      <c r="E132" s="151" t="s">
        <v>9</v>
      </c>
      <c r="F132" s="152">
        <v>3</v>
      </c>
      <c r="G132" s="152">
        <v>576</v>
      </c>
    </row>
    <row r="133" spans="1:7" ht="15.75" x14ac:dyDescent="0.3">
      <c r="A133" s="148" t="s">
        <v>143</v>
      </c>
      <c r="B133" s="149">
        <v>1032895</v>
      </c>
      <c r="C133" s="148" t="s">
        <v>588</v>
      </c>
      <c r="D133" s="150">
        <v>98.82</v>
      </c>
      <c r="E133" s="151" t="s">
        <v>9</v>
      </c>
      <c r="F133" s="152">
        <v>1</v>
      </c>
      <c r="G133" s="152">
        <v>336</v>
      </c>
    </row>
    <row r="134" spans="1:7" ht="15.75" x14ac:dyDescent="0.3">
      <c r="A134" s="148" t="s">
        <v>143</v>
      </c>
      <c r="B134" s="149">
        <v>1032896</v>
      </c>
      <c r="C134" s="148" t="s">
        <v>589</v>
      </c>
      <c r="D134" s="150">
        <v>116.05</v>
      </c>
      <c r="E134" s="151" t="s">
        <v>9</v>
      </c>
      <c r="F134" s="152">
        <v>1</v>
      </c>
      <c r="G134" s="152">
        <v>336</v>
      </c>
    </row>
    <row r="135" spans="1:7" ht="15.75" x14ac:dyDescent="0.3">
      <c r="A135" s="148" t="s">
        <v>143</v>
      </c>
      <c r="B135" s="149">
        <v>1070515</v>
      </c>
      <c r="C135" s="148" t="s">
        <v>590</v>
      </c>
      <c r="D135" s="150">
        <v>7.68</v>
      </c>
      <c r="E135" s="151" t="s">
        <v>9</v>
      </c>
      <c r="F135" s="152">
        <v>20</v>
      </c>
      <c r="G135" s="152">
        <v>80</v>
      </c>
    </row>
    <row r="136" spans="1:7" ht="15.75" x14ac:dyDescent="0.3">
      <c r="A136" s="148" t="s">
        <v>143</v>
      </c>
      <c r="B136" s="149">
        <v>1070516</v>
      </c>
      <c r="C136" s="148" t="s">
        <v>591</v>
      </c>
      <c r="D136" s="150">
        <v>9.68</v>
      </c>
      <c r="E136" s="151" t="s">
        <v>9</v>
      </c>
      <c r="F136" s="152">
        <v>15</v>
      </c>
      <c r="G136" s="152">
        <v>120</v>
      </c>
    </row>
    <row r="137" spans="1:7" ht="15.75" x14ac:dyDescent="0.3">
      <c r="A137" s="148" t="s">
        <v>143</v>
      </c>
      <c r="B137" s="149">
        <v>1070517</v>
      </c>
      <c r="C137" s="148" t="s">
        <v>592</v>
      </c>
      <c r="D137" s="150">
        <v>10.77</v>
      </c>
      <c r="E137" s="151" t="s">
        <v>9</v>
      </c>
      <c r="F137" s="152">
        <v>10</v>
      </c>
      <c r="G137" s="152">
        <v>80</v>
      </c>
    </row>
    <row r="138" spans="1:7" ht="15.75" x14ac:dyDescent="0.3">
      <c r="A138" s="148" t="s">
        <v>143</v>
      </c>
      <c r="B138" s="149">
        <v>1070518</v>
      </c>
      <c r="C138" s="148" t="s">
        <v>593</v>
      </c>
      <c r="D138" s="150">
        <v>16.52</v>
      </c>
      <c r="E138" s="151" t="s">
        <v>9</v>
      </c>
      <c r="F138" s="152">
        <v>20</v>
      </c>
      <c r="G138" s="152">
        <v>80</v>
      </c>
    </row>
    <row r="139" spans="1:7" ht="15.75" x14ac:dyDescent="0.3">
      <c r="A139" s="148" t="s">
        <v>143</v>
      </c>
      <c r="B139" s="149">
        <v>1070519</v>
      </c>
      <c r="C139" s="148" t="s">
        <v>594</v>
      </c>
      <c r="D139" s="150">
        <v>13.06</v>
      </c>
      <c r="E139" s="151" t="s">
        <v>9</v>
      </c>
      <c r="F139" s="152">
        <v>5</v>
      </c>
      <c r="G139" s="152">
        <v>40</v>
      </c>
    </row>
    <row r="140" spans="1:7" ht="15.75" x14ac:dyDescent="0.3">
      <c r="A140" s="148" t="s">
        <v>143</v>
      </c>
      <c r="B140" s="149">
        <v>1070520</v>
      </c>
      <c r="C140" s="148" t="s">
        <v>595</v>
      </c>
      <c r="D140" s="150">
        <v>19.510000000000002</v>
      </c>
      <c r="E140" s="151" t="s">
        <v>9</v>
      </c>
      <c r="F140" s="152">
        <v>5</v>
      </c>
      <c r="G140" s="152">
        <v>40</v>
      </c>
    </row>
    <row r="141" spans="1:7" ht="15.75" x14ac:dyDescent="0.3">
      <c r="A141" s="148" t="s">
        <v>143</v>
      </c>
      <c r="B141" s="149">
        <v>1070521</v>
      </c>
      <c r="C141" s="148" t="s">
        <v>596</v>
      </c>
      <c r="D141" s="150">
        <v>24.59</v>
      </c>
      <c r="E141" s="151" t="s">
        <v>9</v>
      </c>
      <c r="F141" s="152">
        <v>5</v>
      </c>
      <c r="G141" s="152">
        <v>40</v>
      </c>
    </row>
    <row r="142" spans="1:7" ht="15.75" x14ac:dyDescent="0.3">
      <c r="A142" s="148" t="s">
        <v>143</v>
      </c>
      <c r="B142" s="149">
        <v>1070522</v>
      </c>
      <c r="C142" s="148" t="s">
        <v>597</v>
      </c>
      <c r="D142" s="150">
        <v>29.2</v>
      </c>
      <c r="E142" s="151" t="s">
        <v>9</v>
      </c>
      <c r="F142" s="152">
        <v>5</v>
      </c>
      <c r="G142" s="152">
        <v>20</v>
      </c>
    </row>
    <row r="143" spans="1:7" ht="15.75" x14ac:dyDescent="0.3">
      <c r="A143" s="148" t="s">
        <v>143</v>
      </c>
      <c r="B143" s="149">
        <v>1046903</v>
      </c>
      <c r="C143" s="148" t="s">
        <v>598</v>
      </c>
      <c r="D143" s="150">
        <v>40.82</v>
      </c>
      <c r="E143" s="151" t="s">
        <v>9</v>
      </c>
      <c r="F143" s="152">
        <v>5</v>
      </c>
      <c r="G143" s="152">
        <v>960</v>
      </c>
    </row>
    <row r="144" spans="1:7" ht="15.75" x14ac:dyDescent="0.3">
      <c r="A144" s="148" t="s">
        <v>143</v>
      </c>
      <c r="B144" s="149">
        <v>1046904</v>
      </c>
      <c r="C144" s="148" t="s">
        <v>599</v>
      </c>
      <c r="D144" s="150">
        <v>34.04</v>
      </c>
      <c r="E144" s="151" t="s">
        <v>9</v>
      </c>
      <c r="F144" s="152">
        <v>5</v>
      </c>
      <c r="G144" s="152">
        <v>960</v>
      </c>
    </row>
    <row r="145" spans="1:7" ht="15.75" x14ac:dyDescent="0.3">
      <c r="A145" s="148" t="s">
        <v>143</v>
      </c>
      <c r="B145" s="149">
        <v>1046907</v>
      </c>
      <c r="C145" s="148" t="s">
        <v>600</v>
      </c>
      <c r="D145" s="150">
        <v>43.53</v>
      </c>
      <c r="E145" s="151" t="s">
        <v>9</v>
      </c>
      <c r="F145" s="152">
        <v>3</v>
      </c>
      <c r="G145" s="152">
        <v>1152</v>
      </c>
    </row>
    <row r="146" spans="1:7" ht="15.75" x14ac:dyDescent="0.3">
      <c r="A146" s="148" t="s">
        <v>143</v>
      </c>
      <c r="B146" s="149">
        <v>1070523</v>
      </c>
      <c r="C146" s="148" t="s">
        <v>601</v>
      </c>
      <c r="D146" s="150">
        <v>8.4499999999999993</v>
      </c>
      <c r="E146" s="151" t="s">
        <v>9</v>
      </c>
      <c r="F146" s="152">
        <v>20</v>
      </c>
      <c r="G146" s="152">
        <v>80</v>
      </c>
    </row>
    <row r="147" spans="1:7" ht="15.75" x14ac:dyDescent="0.3">
      <c r="A147" s="148" t="s">
        <v>143</v>
      </c>
      <c r="B147" s="149">
        <v>1070524</v>
      </c>
      <c r="C147" s="148" t="s">
        <v>602</v>
      </c>
      <c r="D147" s="150">
        <v>11.54</v>
      </c>
      <c r="E147" s="151" t="s">
        <v>9</v>
      </c>
      <c r="F147" s="152">
        <v>10</v>
      </c>
      <c r="G147" s="152">
        <v>80</v>
      </c>
    </row>
    <row r="148" spans="1:7" ht="15.75" x14ac:dyDescent="0.3">
      <c r="A148" s="148" t="s">
        <v>143</v>
      </c>
      <c r="B148" s="149">
        <v>1070525</v>
      </c>
      <c r="C148" s="148" t="s">
        <v>603</v>
      </c>
      <c r="D148" s="150">
        <v>18.07</v>
      </c>
      <c r="E148" s="151" t="s">
        <v>9</v>
      </c>
      <c r="F148" s="152">
        <v>5</v>
      </c>
      <c r="G148" s="152">
        <v>40</v>
      </c>
    </row>
    <row r="149" spans="1:7" ht="15.75" x14ac:dyDescent="0.3">
      <c r="A149" s="148" t="s">
        <v>143</v>
      </c>
      <c r="B149" s="149">
        <v>1070526</v>
      </c>
      <c r="C149" s="148" t="s">
        <v>604</v>
      </c>
      <c r="D149" s="150">
        <v>23.84</v>
      </c>
      <c r="E149" s="151" t="s">
        <v>9</v>
      </c>
      <c r="F149" s="152">
        <v>5</v>
      </c>
      <c r="G149" s="152">
        <v>20</v>
      </c>
    </row>
    <row r="150" spans="1:7" ht="15.75" x14ac:dyDescent="0.3">
      <c r="A150" s="148" t="s">
        <v>143</v>
      </c>
      <c r="B150" s="149">
        <v>1046908</v>
      </c>
      <c r="C150" s="148" t="s">
        <v>605</v>
      </c>
      <c r="D150" s="150">
        <v>43.53</v>
      </c>
      <c r="E150" s="151" t="s">
        <v>9</v>
      </c>
      <c r="F150" s="152">
        <v>5</v>
      </c>
      <c r="G150" s="152">
        <v>600</v>
      </c>
    </row>
    <row r="151" spans="1:7" ht="15.75" x14ac:dyDescent="0.3">
      <c r="A151" s="148" t="s">
        <v>143</v>
      </c>
      <c r="B151" s="149">
        <v>1046911</v>
      </c>
      <c r="C151" s="148" t="s">
        <v>606</v>
      </c>
      <c r="D151" s="150">
        <v>57.78</v>
      </c>
      <c r="E151" s="151" t="s">
        <v>9</v>
      </c>
      <c r="F151" s="152">
        <v>3</v>
      </c>
      <c r="G151" s="152">
        <v>240</v>
      </c>
    </row>
    <row r="152" spans="1:7" ht="15.75" x14ac:dyDescent="0.3">
      <c r="A152" s="148" t="s">
        <v>143</v>
      </c>
      <c r="B152" s="149">
        <v>1070527</v>
      </c>
      <c r="C152" s="148" t="s">
        <v>607</v>
      </c>
      <c r="D152" s="150">
        <v>18.55</v>
      </c>
      <c r="E152" s="151" t="s">
        <v>9</v>
      </c>
      <c r="F152" s="152">
        <v>10</v>
      </c>
      <c r="G152" s="152">
        <v>80</v>
      </c>
    </row>
    <row r="153" spans="1:7" ht="15.75" x14ac:dyDescent="0.3">
      <c r="A153" s="148" t="s">
        <v>143</v>
      </c>
      <c r="B153" s="149">
        <v>1070528</v>
      </c>
      <c r="C153" s="148" t="s">
        <v>608</v>
      </c>
      <c r="D153" s="150">
        <v>21.09</v>
      </c>
      <c r="E153" s="151" t="s">
        <v>9</v>
      </c>
      <c r="F153" s="152">
        <v>10</v>
      </c>
      <c r="G153" s="152">
        <v>80</v>
      </c>
    </row>
    <row r="154" spans="1:7" ht="15.75" x14ac:dyDescent="0.3">
      <c r="A154" s="148" t="s">
        <v>143</v>
      </c>
      <c r="B154" s="149">
        <v>1070529</v>
      </c>
      <c r="C154" s="148" t="s">
        <v>609</v>
      </c>
      <c r="D154" s="150">
        <v>30.4</v>
      </c>
      <c r="E154" s="151" t="s">
        <v>9</v>
      </c>
      <c r="F154" s="152">
        <v>5</v>
      </c>
      <c r="G154" s="152">
        <v>40</v>
      </c>
    </row>
    <row r="155" spans="1:7" ht="15.75" x14ac:dyDescent="0.3">
      <c r="A155" s="148" t="s">
        <v>143</v>
      </c>
      <c r="B155" s="149">
        <v>1070530</v>
      </c>
      <c r="C155" s="148" t="s">
        <v>610</v>
      </c>
      <c r="D155" s="150">
        <v>37.26</v>
      </c>
      <c r="E155" s="151" t="s">
        <v>9</v>
      </c>
      <c r="F155" s="152">
        <v>5</v>
      </c>
      <c r="G155" s="152">
        <v>20</v>
      </c>
    </row>
    <row r="156" spans="1:7" ht="15.75" x14ac:dyDescent="0.3">
      <c r="A156" s="148" t="s">
        <v>143</v>
      </c>
      <c r="B156" s="149">
        <v>1070531</v>
      </c>
      <c r="C156" s="148" t="s">
        <v>611</v>
      </c>
      <c r="D156" s="150">
        <v>8.4499999999999993</v>
      </c>
      <c r="E156" s="151" t="s">
        <v>9</v>
      </c>
      <c r="F156" s="152">
        <v>20</v>
      </c>
      <c r="G156" s="152">
        <v>80</v>
      </c>
    </row>
    <row r="157" spans="1:7" ht="15.75" x14ac:dyDescent="0.3">
      <c r="A157" s="148" t="s">
        <v>143</v>
      </c>
      <c r="B157" s="149">
        <v>1070532</v>
      </c>
      <c r="C157" s="148" t="s">
        <v>612</v>
      </c>
      <c r="D157" s="150">
        <v>8.4499999999999993</v>
      </c>
      <c r="E157" s="151" t="s">
        <v>9</v>
      </c>
      <c r="F157" s="152">
        <v>20</v>
      </c>
      <c r="G157" s="152">
        <v>80</v>
      </c>
    </row>
    <row r="158" spans="1:7" ht="15.75" x14ac:dyDescent="0.3">
      <c r="A158" s="148" t="s">
        <v>143</v>
      </c>
      <c r="B158" s="149">
        <v>1070533</v>
      </c>
      <c r="C158" s="148" t="s">
        <v>613</v>
      </c>
      <c r="D158" s="150">
        <v>11.54</v>
      </c>
      <c r="E158" s="151" t="s">
        <v>9</v>
      </c>
      <c r="F158" s="152">
        <v>10</v>
      </c>
      <c r="G158" s="152">
        <v>80</v>
      </c>
    </row>
    <row r="159" spans="1:7" ht="15.75" x14ac:dyDescent="0.3">
      <c r="A159" s="148" t="s">
        <v>143</v>
      </c>
      <c r="B159" s="149">
        <v>1070534</v>
      </c>
      <c r="C159" s="148" t="s">
        <v>614</v>
      </c>
      <c r="D159" s="150">
        <v>12.28</v>
      </c>
      <c r="E159" s="151" t="s">
        <v>9</v>
      </c>
      <c r="F159" s="152">
        <v>10</v>
      </c>
      <c r="G159" s="152">
        <v>80</v>
      </c>
    </row>
    <row r="160" spans="1:7" ht="15.75" x14ac:dyDescent="0.3">
      <c r="A160" s="148" t="s">
        <v>143</v>
      </c>
      <c r="B160" s="149">
        <v>1070535</v>
      </c>
      <c r="C160" s="148" t="s">
        <v>615</v>
      </c>
      <c r="D160" s="150">
        <v>14.98</v>
      </c>
      <c r="E160" s="151" t="s">
        <v>9</v>
      </c>
      <c r="F160" s="152">
        <v>5</v>
      </c>
      <c r="G160" s="152">
        <v>40</v>
      </c>
    </row>
    <row r="161" spans="1:7" ht="15.75" x14ac:dyDescent="0.3">
      <c r="A161" s="148" t="s">
        <v>143</v>
      </c>
      <c r="B161" s="149">
        <v>1070536</v>
      </c>
      <c r="C161" s="148" t="s">
        <v>616</v>
      </c>
      <c r="D161" s="150">
        <v>19.97</v>
      </c>
      <c r="E161" s="151" t="s">
        <v>9</v>
      </c>
      <c r="F161" s="152">
        <v>5</v>
      </c>
      <c r="G161" s="152">
        <v>40</v>
      </c>
    </row>
    <row r="162" spans="1:7" ht="15.75" x14ac:dyDescent="0.3">
      <c r="A162" s="148" t="s">
        <v>143</v>
      </c>
      <c r="B162" s="149">
        <v>1070537</v>
      </c>
      <c r="C162" s="148" t="s">
        <v>617</v>
      </c>
      <c r="D162" s="150">
        <v>23.04</v>
      </c>
      <c r="E162" s="151" t="s">
        <v>9</v>
      </c>
      <c r="F162" s="152">
        <v>5</v>
      </c>
      <c r="G162" s="152">
        <v>20</v>
      </c>
    </row>
    <row r="163" spans="1:7" ht="15.75" x14ac:dyDescent="0.3">
      <c r="A163" s="148" t="s">
        <v>143</v>
      </c>
      <c r="B163" s="149">
        <v>1046909</v>
      </c>
      <c r="C163" s="148" t="s">
        <v>618</v>
      </c>
      <c r="D163" s="150">
        <v>59.36</v>
      </c>
      <c r="E163" s="151" t="s">
        <v>9</v>
      </c>
      <c r="F163" s="152">
        <v>5</v>
      </c>
      <c r="G163" s="152">
        <v>500</v>
      </c>
    </row>
    <row r="164" spans="1:7" ht="15.75" x14ac:dyDescent="0.3">
      <c r="A164" s="148" t="s">
        <v>143</v>
      </c>
      <c r="B164" s="149">
        <v>1070538</v>
      </c>
      <c r="C164" s="148" t="s">
        <v>619</v>
      </c>
      <c r="D164" s="150">
        <v>11.24</v>
      </c>
      <c r="E164" s="151" t="s">
        <v>9</v>
      </c>
      <c r="F164" s="152">
        <v>1</v>
      </c>
      <c r="G164" s="152">
        <v>20</v>
      </c>
    </row>
    <row r="165" spans="1:7" ht="15.75" x14ac:dyDescent="0.3">
      <c r="A165" s="148" t="s">
        <v>143</v>
      </c>
      <c r="B165" s="149">
        <v>1070539</v>
      </c>
      <c r="C165" s="148" t="s">
        <v>620</v>
      </c>
      <c r="D165" s="150">
        <v>8.4499999999999993</v>
      </c>
      <c r="E165" s="151" t="s">
        <v>9</v>
      </c>
      <c r="F165" s="152">
        <v>10</v>
      </c>
      <c r="G165" s="152">
        <v>80</v>
      </c>
    </row>
    <row r="166" spans="1:7" ht="15.75" x14ac:dyDescent="0.3">
      <c r="A166" s="148" t="s">
        <v>143</v>
      </c>
      <c r="B166" s="149">
        <v>1070540</v>
      </c>
      <c r="C166" s="148" t="s">
        <v>621</v>
      </c>
      <c r="D166" s="150">
        <v>13.04</v>
      </c>
      <c r="E166" s="151" t="s">
        <v>9</v>
      </c>
      <c r="F166" s="152">
        <v>10</v>
      </c>
      <c r="G166" s="152">
        <v>80</v>
      </c>
    </row>
    <row r="167" spans="1:7" ht="15.75" x14ac:dyDescent="0.3">
      <c r="A167" s="148" t="s">
        <v>143</v>
      </c>
      <c r="B167" s="149">
        <v>1070541</v>
      </c>
      <c r="C167" s="148" t="s">
        <v>622</v>
      </c>
      <c r="D167" s="150">
        <v>13.04</v>
      </c>
      <c r="E167" s="151" t="s">
        <v>9</v>
      </c>
      <c r="F167" s="152">
        <v>10</v>
      </c>
      <c r="G167" s="152">
        <v>40</v>
      </c>
    </row>
    <row r="168" spans="1:7" ht="15.75" x14ac:dyDescent="0.3">
      <c r="A168" s="148" t="s">
        <v>143</v>
      </c>
      <c r="B168" s="149">
        <v>1070542</v>
      </c>
      <c r="C168" s="148" t="s">
        <v>623</v>
      </c>
      <c r="D168" s="150">
        <v>21.15</v>
      </c>
      <c r="E168" s="151" t="s">
        <v>9</v>
      </c>
      <c r="F168" s="152">
        <v>5</v>
      </c>
      <c r="G168" s="152">
        <v>20</v>
      </c>
    </row>
    <row r="169" spans="1:7" ht="15.75" x14ac:dyDescent="0.3">
      <c r="A169" s="148" t="s">
        <v>143</v>
      </c>
      <c r="B169" s="149">
        <v>1070543</v>
      </c>
      <c r="C169" s="148" t="s">
        <v>624</v>
      </c>
      <c r="D169" s="150">
        <v>21.15</v>
      </c>
      <c r="E169" s="151" t="s">
        <v>9</v>
      </c>
      <c r="F169" s="152">
        <v>5</v>
      </c>
      <c r="G169" s="152">
        <v>20</v>
      </c>
    </row>
    <row r="170" spans="1:7" ht="15.75" x14ac:dyDescent="0.3">
      <c r="A170" s="148" t="s">
        <v>143</v>
      </c>
      <c r="B170" s="149">
        <v>1070544</v>
      </c>
      <c r="C170" s="148" t="s">
        <v>625</v>
      </c>
      <c r="D170" s="150">
        <v>25.94</v>
      </c>
      <c r="E170" s="151" t="s">
        <v>9</v>
      </c>
      <c r="F170" s="152">
        <v>5</v>
      </c>
      <c r="G170" s="152">
        <v>20</v>
      </c>
    </row>
    <row r="171" spans="1:7" ht="15.75" x14ac:dyDescent="0.3">
      <c r="A171" s="148" t="s">
        <v>143</v>
      </c>
      <c r="B171" s="149">
        <v>1046910</v>
      </c>
      <c r="C171" s="148" t="s">
        <v>626</v>
      </c>
      <c r="D171" s="150">
        <v>63.31</v>
      </c>
      <c r="E171" s="151" t="s">
        <v>9</v>
      </c>
      <c r="F171" s="152">
        <v>5</v>
      </c>
      <c r="G171" s="152">
        <v>500</v>
      </c>
    </row>
    <row r="172" spans="1:7" ht="15.75" x14ac:dyDescent="0.3">
      <c r="A172" s="148" t="s">
        <v>143</v>
      </c>
      <c r="B172" s="149">
        <v>1046912</v>
      </c>
      <c r="C172" s="148" t="s">
        <v>627</v>
      </c>
      <c r="D172" s="150">
        <v>75.22</v>
      </c>
      <c r="E172" s="151" t="s">
        <v>9</v>
      </c>
      <c r="F172" s="152">
        <v>3</v>
      </c>
      <c r="G172" s="152">
        <v>300</v>
      </c>
    </row>
    <row r="173" spans="1:7" ht="15.75" x14ac:dyDescent="0.3">
      <c r="A173" s="148" t="s">
        <v>143</v>
      </c>
      <c r="B173" s="149">
        <v>1070545</v>
      </c>
      <c r="C173" s="148" t="s">
        <v>628</v>
      </c>
      <c r="D173" s="150">
        <v>18.07</v>
      </c>
      <c r="E173" s="151" t="s">
        <v>9</v>
      </c>
      <c r="F173" s="152">
        <v>5</v>
      </c>
      <c r="G173" s="152">
        <v>20</v>
      </c>
    </row>
    <row r="174" spans="1:7" ht="15.75" x14ac:dyDescent="0.3">
      <c r="A174" s="148" t="s">
        <v>143</v>
      </c>
      <c r="B174" s="149">
        <v>1070546</v>
      </c>
      <c r="C174" s="148" t="s">
        <v>629</v>
      </c>
      <c r="D174" s="150">
        <v>30.33</v>
      </c>
      <c r="E174" s="151" t="s">
        <v>9</v>
      </c>
      <c r="F174" s="152">
        <v>5</v>
      </c>
      <c r="G174" s="152">
        <v>20</v>
      </c>
    </row>
    <row r="175" spans="1:7" ht="15.75" x14ac:dyDescent="0.3">
      <c r="A175" s="148" t="s">
        <v>143</v>
      </c>
      <c r="B175" s="149">
        <v>1046913</v>
      </c>
      <c r="C175" s="148" t="s">
        <v>630</v>
      </c>
      <c r="D175" s="150">
        <v>52.24</v>
      </c>
      <c r="E175" s="151" t="s">
        <v>9</v>
      </c>
      <c r="F175" s="152">
        <v>5</v>
      </c>
      <c r="G175" s="152">
        <v>500</v>
      </c>
    </row>
    <row r="176" spans="1:7" ht="15.75" x14ac:dyDescent="0.3">
      <c r="A176" s="148" t="s">
        <v>143</v>
      </c>
      <c r="B176" s="149">
        <v>1046914</v>
      </c>
      <c r="C176" s="148" t="s">
        <v>631</v>
      </c>
      <c r="D176" s="150">
        <v>69.34</v>
      </c>
      <c r="E176" s="151" t="s">
        <v>9</v>
      </c>
      <c r="F176" s="152">
        <v>3</v>
      </c>
      <c r="G176" s="152">
        <v>300</v>
      </c>
    </row>
    <row r="177" spans="1:7" ht="15.75" x14ac:dyDescent="0.3">
      <c r="A177" s="148" t="s">
        <v>143</v>
      </c>
      <c r="B177" s="149">
        <v>1070547</v>
      </c>
      <c r="C177" s="148" t="s">
        <v>632</v>
      </c>
      <c r="D177" s="150">
        <v>6.53</v>
      </c>
      <c r="E177" s="151" t="s">
        <v>9</v>
      </c>
      <c r="F177" s="152">
        <v>20</v>
      </c>
      <c r="G177" s="152">
        <v>80</v>
      </c>
    </row>
    <row r="178" spans="1:7" ht="15.75" x14ac:dyDescent="0.3">
      <c r="A178" s="148" t="s">
        <v>143</v>
      </c>
      <c r="B178" s="149">
        <v>1070548</v>
      </c>
      <c r="C178" s="148" t="s">
        <v>633</v>
      </c>
      <c r="D178" s="150">
        <v>9.25</v>
      </c>
      <c r="E178" s="151" t="s">
        <v>9</v>
      </c>
      <c r="F178" s="152">
        <v>10</v>
      </c>
      <c r="G178" s="152">
        <v>80</v>
      </c>
    </row>
    <row r="179" spans="1:7" ht="15.75" x14ac:dyDescent="0.3">
      <c r="A179" s="148" t="s">
        <v>143</v>
      </c>
      <c r="B179" s="149">
        <v>1070549</v>
      </c>
      <c r="C179" s="148" t="s">
        <v>634</v>
      </c>
      <c r="D179" s="150">
        <v>14.53</v>
      </c>
      <c r="E179" s="151" t="s">
        <v>9</v>
      </c>
      <c r="F179" s="152">
        <v>10</v>
      </c>
      <c r="G179" s="152">
        <v>80</v>
      </c>
    </row>
    <row r="180" spans="1:7" ht="15.75" x14ac:dyDescent="0.3">
      <c r="A180" s="148" t="s">
        <v>143</v>
      </c>
      <c r="B180" s="149">
        <v>1070550</v>
      </c>
      <c r="C180" s="148" t="s">
        <v>635</v>
      </c>
      <c r="D180" s="150">
        <v>18.07</v>
      </c>
      <c r="E180" s="151" t="s">
        <v>9</v>
      </c>
      <c r="F180" s="152">
        <v>5</v>
      </c>
      <c r="G180" s="152">
        <v>40</v>
      </c>
    </row>
    <row r="181" spans="1:7" ht="15.75" x14ac:dyDescent="0.3">
      <c r="A181" s="148" t="s">
        <v>143</v>
      </c>
      <c r="B181" s="149">
        <v>1118706</v>
      </c>
      <c r="C181" s="148" t="s">
        <v>636</v>
      </c>
      <c r="D181" s="150">
        <v>53.05</v>
      </c>
      <c r="E181" s="151" t="s">
        <v>9</v>
      </c>
      <c r="F181" s="152">
        <v>10</v>
      </c>
      <c r="G181" s="152">
        <v>80</v>
      </c>
    </row>
    <row r="182" spans="1:7" ht="15.75" x14ac:dyDescent="0.3">
      <c r="A182" s="148" t="s">
        <v>143</v>
      </c>
      <c r="B182" s="149">
        <v>1118707</v>
      </c>
      <c r="C182" s="148" t="s">
        <v>637</v>
      </c>
      <c r="D182" s="150">
        <v>53.97</v>
      </c>
      <c r="E182" s="151" t="s">
        <v>9</v>
      </c>
      <c r="F182" s="152">
        <v>10</v>
      </c>
      <c r="G182" s="152">
        <v>80</v>
      </c>
    </row>
    <row r="183" spans="1:7" ht="15.75" x14ac:dyDescent="0.3">
      <c r="A183" s="148" t="s">
        <v>143</v>
      </c>
      <c r="B183" s="149">
        <v>1118708</v>
      </c>
      <c r="C183" s="148" t="s">
        <v>638</v>
      </c>
      <c r="D183" s="150">
        <v>70.98</v>
      </c>
      <c r="E183" s="151" t="s">
        <v>9</v>
      </c>
      <c r="F183" s="152">
        <v>5</v>
      </c>
      <c r="G183" s="152">
        <v>40</v>
      </c>
    </row>
    <row r="184" spans="1:7" ht="15.75" x14ac:dyDescent="0.3">
      <c r="A184" s="148" t="s">
        <v>143</v>
      </c>
      <c r="B184" s="149">
        <v>1118709</v>
      </c>
      <c r="C184" s="148" t="s">
        <v>639</v>
      </c>
      <c r="D184" s="150">
        <v>83.24</v>
      </c>
      <c r="E184" s="151" t="s">
        <v>9</v>
      </c>
      <c r="F184" s="152">
        <v>5</v>
      </c>
      <c r="G184" s="152">
        <v>20</v>
      </c>
    </row>
    <row r="185" spans="1:7" ht="15.75" x14ac:dyDescent="0.3">
      <c r="A185" s="148" t="s">
        <v>143</v>
      </c>
      <c r="B185" s="149">
        <v>1118710</v>
      </c>
      <c r="C185" s="148" t="s">
        <v>640</v>
      </c>
      <c r="D185" s="150">
        <v>105.5</v>
      </c>
      <c r="E185" s="151" t="s">
        <v>9</v>
      </c>
      <c r="F185" s="152">
        <v>3</v>
      </c>
      <c r="G185" s="152">
        <v>12</v>
      </c>
    </row>
    <row r="186" spans="1:7" ht="15.75" x14ac:dyDescent="0.3">
      <c r="A186" s="148" t="s">
        <v>143</v>
      </c>
      <c r="B186" s="149">
        <v>1046932</v>
      </c>
      <c r="C186" s="148" t="s">
        <v>641</v>
      </c>
      <c r="D186" s="150">
        <v>27.71</v>
      </c>
      <c r="E186" s="151" t="s">
        <v>9</v>
      </c>
      <c r="F186" s="152">
        <v>5</v>
      </c>
      <c r="G186" s="152">
        <v>960</v>
      </c>
    </row>
    <row r="187" spans="1:7" ht="15.75" x14ac:dyDescent="0.3">
      <c r="A187" s="148" t="s">
        <v>143</v>
      </c>
      <c r="B187" s="149">
        <v>1046935</v>
      </c>
      <c r="C187" s="148" t="s">
        <v>642</v>
      </c>
      <c r="D187" s="150">
        <v>39.58</v>
      </c>
      <c r="E187" s="151" t="s">
        <v>9</v>
      </c>
      <c r="F187" s="152">
        <v>3</v>
      </c>
      <c r="G187" s="152">
        <v>576</v>
      </c>
    </row>
    <row r="188" spans="1:7" ht="15.75" x14ac:dyDescent="0.3">
      <c r="A188" s="148" t="s">
        <v>143</v>
      </c>
      <c r="B188" s="149">
        <v>1070552</v>
      </c>
      <c r="C188" s="148" t="s">
        <v>643</v>
      </c>
      <c r="D188" s="150">
        <v>8.4499999999999993</v>
      </c>
      <c r="E188" s="151" t="s">
        <v>9</v>
      </c>
      <c r="F188" s="152">
        <v>20</v>
      </c>
      <c r="G188" s="152">
        <v>80</v>
      </c>
    </row>
    <row r="189" spans="1:7" ht="15.75" x14ac:dyDescent="0.3">
      <c r="A189" s="148" t="s">
        <v>143</v>
      </c>
      <c r="B189" s="149">
        <v>1070553</v>
      </c>
      <c r="C189" s="148" t="s">
        <v>644</v>
      </c>
      <c r="D189" s="150">
        <v>13.06</v>
      </c>
      <c r="E189" s="151" t="s">
        <v>9</v>
      </c>
      <c r="F189" s="152">
        <v>10</v>
      </c>
      <c r="G189" s="152">
        <v>80</v>
      </c>
    </row>
    <row r="190" spans="1:7" ht="15.75" x14ac:dyDescent="0.3">
      <c r="A190" s="148" t="s">
        <v>143</v>
      </c>
      <c r="B190" s="149">
        <v>1070554</v>
      </c>
      <c r="C190" s="148" t="s">
        <v>645</v>
      </c>
      <c r="D190" s="150">
        <v>14.98</v>
      </c>
      <c r="E190" s="151" t="s">
        <v>9</v>
      </c>
      <c r="F190" s="152">
        <v>10</v>
      </c>
      <c r="G190" s="152">
        <v>80</v>
      </c>
    </row>
    <row r="191" spans="1:7" ht="15.75" x14ac:dyDescent="0.3">
      <c r="A191" s="148" t="s">
        <v>143</v>
      </c>
      <c r="B191" s="149">
        <v>1070555</v>
      </c>
      <c r="C191" s="148" t="s">
        <v>646</v>
      </c>
      <c r="D191" s="150">
        <v>18.07</v>
      </c>
      <c r="E191" s="151" t="s">
        <v>9</v>
      </c>
      <c r="F191" s="152">
        <v>10</v>
      </c>
      <c r="G191" s="152">
        <v>80</v>
      </c>
    </row>
    <row r="192" spans="1:7" ht="15.75" x14ac:dyDescent="0.3">
      <c r="A192" s="148" t="s">
        <v>143</v>
      </c>
      <c r="B192" s="149">
        <v>1070556</v>
      </c>
      <c r="C192" s="148" t="s">
        <v>647</v>
      </c>
      <c r="D192" s="150">
        <v>18.07</v>
      </c>
      <c r="E192" s="151" t="s">
        <v>9</v>
      </c>
      <c r="F192" s="152">
        <v>10</v>
      </c>
      <c r="G192" s="152">
        <v>80</v>
      </c>
    </row>
    <row r="193" spans="1:7" ht="15.75" x14ac:dyDescent="0.3">
      <c r="A193" s="148" t="s">
        <v>143</v>
      </c>
      <c r="B193" s="149">
        <v>1046930</v>
      </c>
      <c r="C193" s="148" t="s">
        <v>648</v>
      </c>
      <c r="D193" s="150">
        <v>26.88</v>
      </c>
      <c r="E193" s="151" t="s">
        <v>9</v>
      </c>
      <c r="F193" s="152">
        <v>5</v>
      </c>
      <c r="G193" s="152">
        <v>960</v>
      </c>
    </row>
    <row r="194" spans="1:7" ht="15.75" x14ac:dyDescent="0.3">
      <c r="A194" s="148" t="s">
        <v>143</v>
      </c>
      <c r="B194" s="149">
        <v>1046931</v>
      </c>
      <c r="C194" s="148" t="s">
        <v>649</v>
      </c>
      <c r="D194" s="150">
        <v>27.71</v>
      </c>
      <c r="E194" s="151" t="s">
        <v>9</v>
      </c>
      <c r="F194" s="152">
        <v>5</v>
      </c>
      <c r="G194" s="152">
        <v>960</v>
      </c>
    </row>
    <row r="195" spans="1:7" ht="15.75" x14ac:dyDescent="0.3">
      <c r="A195" s="148" t="s">
        <v>143</v>
      </c>
      <c r="B195" s="149">
        <v>1046933</v>
      </c>
      <c r="C195" s="148" t="s">
        <v>650</v>
      </c>
      <c r="D195" s="150">
        <v>37.99</v>
      </c>
      <c r="E195" s="151" t="s">
        <v>9</v>
      </c>
      <c r="F195" s="152">
        <v>3</v>
      </c>
      <c r="G195" s="152">
        <v>1152</v>
      </c>
    </row>
    <row r="196" spans="1:7" ht="15.75" x14ac:dyDescent="0.3">
      <c r="A196" s="148" t="s">
        <v>143</v>
      </c>
      <c r="B196" s="149">
        <v>1046934</v>
      </c>
      <c r="C196" s="148" t="s">
        <v>651</v>
      </c>
      <c r="D196" s="150">
        <v>39.17</v>
      </c>
      <c r="E196" s="151" t="s">
        <v>9</v>
      </c>
      <c r="F196" s="152">
        <v>3</v>
      </c>
      <c r="G196" s="152">
        <v>576</v>
      </c>
    </row>
    <row r="197" spans="1:7" ht="15.75" x14ac:dyDescent="0.3">
      <c r="A197" s="148" t="s">
        <v>143</v>
      </c>
      <c r="B197" s="149">
        <v>1070560</v>
      </c>
      <c r="C197" s="148" t="s">
        <v>652</v>
      </c>
      <c r="D197" s="150">
        <v>10.77</v>
      </c>
      <c r="E197" s="151" t="s">
        <v>9</v>
      </c>
      <c r="F197" s="152">
        <v>10</v>
      </c>
      <c r="G197" s="152">
        <v>80</v>
      </c>
    </row>
    <row r="198" spans="1:7" ht="15.75" x14ac:dyDescent="0.3">
      <c r="A198" s="148" t="s">
        <v>143</v>
      </c>
      <c r="B198" s="149">
        <v>1070561</v>
      </c>
      <c r="C198" s="148" t="s">
        <v>653</v>
      </c>
      <c r="D198" s="150">
        <v>15.69</v>
      </c>
      <c r="E198" s="151" t="s">
        <v>9</v>
      </c>
      <c r="F198" s="152">
        <v>10</v>
      </c>
      <c r="G198" s="152">
        <v>80</v>
      </c>
    </row>
    <row r="199" spans="1:7" ht="15.75" x14ac:dyDescent="0.3">
      <c r="A199" s="148" t="s">
        <v>143</v>
      </c>
      <c r="B199" s="149">
        <v>1070562</v>
      </c>
      <c r="C199" s="148" t="s">
        <v>654</v>
      </c>
      <c r="D199" s="150">
        <v>22.29</v>
      </c>
      <c r="E199" s="151" t="s">
        <v>9</v>
      </c>
      <c r="F199" s="152">
        <v>5</v>
      </c>
      <c r="G199" s="152">
        <v>20</v>
      </c>
    </row>
    <row r="200" spans="1:7" ht="15.75" x14ac:dyDescent="0.3">
      <c r="A200" s="148" t="s">
        <v>143</v>
      </c>
      <c r="B200" s="149">
        <v>1070563</v>
      </c>
      <c r="C200" s="148" t="s">
        <v>655</v>
      </c>
      <c r="D200" s="150">
        <v>32.28</v>
      </c>
      <c r="E200" s="151" t="s">
        <v>9</v>
      </c>
      <c r="F200" s="152">
        <v>5</v>
      </c>
      <c r="G200" s="152">
        <v>20</v>
      </c>
    </row>
    <row r="201" spans="1:7" ht="15.75" x14ac:dyDescent="0.3">
      <c r="A201" s="148" t="s">
        <v>143</v>
      </c>
      <c r="B201" s="149">
        <v>1046921</v>
      </c>
      <c r="C201" s="148" t="s">
        <v>656</v>
      </c>
      <c r="D201" s="150">
        <v>59.36</v>
      </c>
      <c r="E201" s="151" t="s">
        <v>9</v>
      </c>
      <c r="F201" s="152">
        <v>5</v>
      </c>
      <c r="G201" s="152">
        <v>400</v>
      </c>
    </row>
    <row r="202" spans="1:7" ht="15.75" x14ac:dyDescent="0.3">
      <c r="A202" s="148" t="s">
        <v>143</v>
      </c>
      <c r="B202" s="149">
        <v>1046928</v>
      </c>
      <c r="C202" s="148" t="s">
        <v>657</v>
      </c>
      <c r="D202" s="150">
        <v>79.150000000000006</v>
      </c>
      <c r="E202" s="151" t="s">
        <v>9</v>
      </c>
      <c r="F202" s="152">
        <v>3</v>
      </c>
      <c r="G202" s="152">
        <v>300</v>
      </c>
    </row>
    <row r="203" spans="1:7" ht="15.75" x14ac:dyDescent="0.3">
      <c r="A203" s="148" t="s">
        <v>143</v>
      </c>
      <c r="B203" s="149">
        <v>1070566</v>
      </c>
      <c r="C203" s="148" t="s">
        <v>658</v>
      </c>
      <c r="D203" s="150">
        <v>14.61</v>
      </c>
      <c r="E203" s="151" t="s">
        <v>9</v>
      </c>
      <c r="F203" s="152">
        <v>10</v>
      </c>
      <c r="G203" s="152">
        <v>80</v>
      </c>
    </row>
    <row r="204" spans="1:7" ht="15.75" x14ac:dyDescent="0.3">
      <c r="A204" s="148" t="s">
        <v>143</v>
      </c>
      <c r="B204" s="149">
        <v>1070567</v>
      </c>
      <c r="C204" s="148" t="s">
        <v>659</v>
      </c>
      <c r="D204" s="150">
        <v>15.69</v>
      </c>
      <c r="E204" s="151" t="s">
        <v>9</v>
      </c>
      <c r="F204" s="152">
        <v>10</v>
      </c>
      <c r="G204" s="152">
        <v>40</v>
      </c>
    </row>
    <row r="205" spans="1:7" ht="15.75" x14ac:dyDescent="0.3">
      <c r="A205" s="148" t="s">
        <v>143</v>
      </c>
      <c r="B205" s="149">
        <v>1070568</v>
      </c>
      <c r="C205" s="148" t="s">
        <v>660</v>
      </c>
      <c r="D205" s="150">
        <v>15.69</v>
      </c>
      <c r="E205" s="151" t="s">
        <v>9</v>
      </c>
      <c r="F205" s="152">
        <v>20</v>
      </c>
      <c r="G205" s="152">
        <v>80</v>
      </c>
    </row>
    <row r="206" spans="1:7" ht="15.75" x14ac:dyDescent="0.3">
      <c r="A206" s="148" t="s">
        <v>143</v>
      </c>
      <c r="B206" s="149">
        <v>1070569</v>
      </c>
      <c r="C206" s="148" t="s">
        <v>661</v>
      </c>
      <c r="D206" s="150">
        <v>15.69</v>
      </c>
      <c r="E206" s="151" t="s">
        <v>9</v>
      </c>
      <c r="F206" s="152">
        <v>20</v>
      </c>
      <c r="G206" s="152">
        <v>80</v>
      </c>
    </row>
    <row r="207" spans="1:7" ht="15.75" x14ac:dyDescent="0.3">
      <c r="A207" s="148" t="s">
        <v>143</v>
      </c>
      <c r="B207" s="149">
        <v>1070570</v>
      </c>
      <c r="C207" s="148" t="s">
        <v>662</v>
      </c>
      <c r="D207" s="150">
        <v>22.29</v>
      </c>
      <c r="E207" s="151" t="s">
        <v>9</v>
      </c>
      <c r="F207" s="152">
        <v>10</v>
      </c>
      <c r="G207" s="152">
        <v>40</v>
      </c>
    </row>
    <row r="208" spans="1:7" ht="15.75" x14ac:dyDescent="0.3">
      <c r="A208" s="148" t="s">
        <v>143</v>
      </c>
      <c r="B208" s="149">
        <v>1070571</v>
      </c>
      <c r="C208" s="148" t="s">
        <v>663</v>
      </c>
      <c r="D208" s="150">
        <v>22.29</v>
      </c>
      <c r="E208" s="151" t="s">
        <v>9</v>
      </c>
      <c r="F208" s="152">
        <v>10</v>
      </c>
      <c r="G208" s="152">
        <v>40</v>
      </c>
    </row>
    <row r="209" spans="1:7" ht="15.75" x14ac:dyDescent="0.3">
      <c r="A209" s="148" t="s">
        <v>143</v>
      </c>
      <c r="B209" s="149">
        <v>1070572</v>
      </c>
      <c r="C209" s="148" t="s">
        <v>664</v>
      </c>
      <c r="D209" s="150">
        <v>22.29</v>
      </c>
      <c r="E209" s="151" t="s">
        <v>9</v>
      </c>
      <c r="F209" s="152">
        <v>5</v>
      </c>
      <c r="G209" s="152">
        <v>40</v>
      </c>
    </row>
    <row r="210" spans="1:7" ht="15.75" x14ac:dyDescent="0.3">
      <c r="A210" s="148" t="s">
        <v>143</v>
      </c>
      <c r="B210" s="149">
        <v>1070573</v>
      </c>
      <c r="C210" s="148" t="s">
        <v>665</v>
      </c>
      <c r="D210" s="150">
        <v>22.29</v>
      </c>
      <c r="E210" s="151" t="s">
        <v>9</v>
      </c>
      <c r="F210" s="152">
        <v>5</v>
      </c>
      <c r="G210" s="152">
        <v>40</v>
      </c>
    </row>
    <row r="211" spans="1:7" ht="15.75" x14ac:dyDescent="0.3">
      <c r="A211" s="148" t="s">
        <v>143</v>
      </c>
      <c r="B211" s="149">
        <v>1070574</v>
      </c>
      <c r="C211" s="148" t="s">
        <v>666</v>
      </c>
      <c r="D211" s="150">
        <v>22.29</v>
      </c>
      <c r="E211" s="151" t="s">
        <v>9</v>
      </c>
      <c r="F211" s="152">
        <v>5</v>
      </c>
      <c r="G211" s="152">
        <v>20</v>
      </c>
    </row>
    <row r="212" spans="1:7" ht="15.75" x14ac:dyDescent="0.3">
      <c r="A212" s="148" t="s">
        <v>143</v>
      </c>
      <c r="B212" s="149">
        <v>1070575</v>
      </c>
      <c r="C212" s="148" t="s">
        <v>667</v>
      </c>
      <c r="D212" s="150">
        <v>22.29</v>
      </c>
      <c r="E212" s="151" t="s">
        <v>9</v>
      </c>
      <c r="F212" s="152">
        <v>5</v>
      </c>
      <c r="G212" s="152">
        <v>40</v>
      </c>
    </row>
    <row r="213" spans="1:7" ht="15.75" x14ac:dyDescent="0.3">
      <c r="A213" s="148" t="s">
        <v>143</v>
      </c>
      <c r="B213" s="149">
        <v>1070576</v>
      </c>
      <c r="C213" s="148" t="s">
        <v>668</v>
      </c>
      <c r="D213" s="150">
        <v>22.29</v>
      </c>
      <c r="E213" s="151" t="s">
        <v>9</v>
      </c>
      <c r="F213" s="152">
        <v>5</v>
      </c>
      <c r="G213" s="152">
        <v>40</v>
      </c>
    </row>
    <row r="214" spans="1:7" ht="15.75" x14ac:dyDescent="0.3">
      <c r="A214" s="148" t="s">
        <v>143</v>
      </c>
      <c r="B214" s="149">
        <v>1070577</v>
      </c>
      <c r="C214" s="148" t="s">
        <v>669</v>
      </c>
      <c r="D214" s="150">
        <v>22.29</v>
      </c>
      <c r="E214" s="151" t="s">
        <v>9</v>
      </c>
      <c r="F214" s="152">
        <v>5</v>
      </c>
      <c r="G214" s="152">
        <v>20</v>
      </c>
    </row>
    <row r="215" spans="1:7" ht="15.75" x14ac:dyDescent="0.3">
      <c r="A215" s="148" t="s">
        <v>143</v>
      </c>
      <c r="B215" s="149">
        <v>1070578</v>
      </c>
      <c r="C215" s="148" t="s">
        <v>670</v>
      </c>
      <c r="D215" s="150">
        <v>22.29</v>
      </c>
      <c r="E215" s="151" t="s">
        <v>9</v>
      </c>
      <c r="F215" s="152">
        <v>5</v>
      </c>
      <c r="G215" s="152">
        <v>20</v>
      </c>
    </row>
    <row r="216" spans="1:7" ht="15.75" x14ac:dyDescent="0.3">
      <c r="A216" s="148" t="s">
        <v>143</v>
      </c>
      <c r="B216" s="149">
        <v>1070579</v>
      </c>
      <c r="C216" s="148" t="s">
        <v>671</v>
      </c>
      <c r="D216" s="150">
        <v>32.65</v>
      </c>
      <c r="E216" s="151" t="s">
        <v>9</v>
      </c>
      <c r="F216" s="152">
        <v>5</v>
      </c>
      <c r="G216" s="152">
        <v>20</v>
      </c>
    </row>
    <row r="217" spans="1:7" ht="15.75" x14ac:dyDescent="0.3">
      <c r="A217" s="148" t="s">
        <v>143</v>
      </c>
      <c r="B217" s="149">
        <v>1070580</v>
      </c>
      <c r="C217" s="148" t="s">
        <v>672</v>
      </c>
      <c r="D217" s="150">
        <v>32.28</v>
      </c>
      <c r="E217" s="151" t="s">
        <v>9</v>
      </c>
      <c r="F217" s="152">
        <v>5</v>
      </c>
      <c r="G217" s="152">
        <v>20</v>
      </c>
    </row>
    <row r="218" spans="1:7" ht="15.75" x14ac:dyDescent="0.3">
      <c r="A218" s="148" t="s">
        <v>143</v>
      </c>
      <c r="B218" s="149">
        <v>1070581</v>
      </c>
      <c r="C218" s="148" t="s">
        <v>673</v>
      </c>
      <c r="D218" s="150">
        <v>32.28</v>
      </c>
      <c r="E218" s="151" t="s">
        <v>9</v>
      </c>
      <c r="F218" s="152">
        <v>5</v>
      </c>
      <c r="G218" s="152">
        <v>20</v>
      </c>
    </row>
    <row r="219" spans="1:7" ht="15.75" x14ac:dyDescent="0.3">
      <c r="A219" s="148" t="s">
        <v>143</v>
      </c>
      <c r="B219" s="149">
        <v>1070582</v>
      </c>
      <c r="C219" s="148" t="s">
        <v>674</v>
      </c>
      <c r="D219" s="150">
        <v>32.28</v>
      </c>
      <c r="E219" s="151" t="s">
        <v>9</v>
      </c>
      <c r="F219" s="152">
        <v>5</v>
      </c>
      <c r="G219" s="152">
        <v>20</v>
      </c>
    </row>
    <row r="220" spans="1:7" ht="15.75" x14ac:dyDescent="0.3">
      <c r="A220" s="148" t="s">
        <v>143</v>
      </c>
      <c r="B220" s="149">
        <v>1070583</v>
      </c>
      <c r="C220" s="148" t="s">
        <v>675</v>
      </c>
      <c r="D220" s="150">
        <v>32.28</v>
      </c>
      <c r="E220" s="151" t="s">
        <v>9</v>
      </c>
      <c r="F220" s="152">
        <v>5</v>
      </c>
      <c r="G220" s="152">
        <v>20</v>
      </c>
    </row>
    <row r="221" spans="1:7" ht="15.75" x14ac:dyDescent="0.3">
      <c r="A221" s="148" t="s">
        <v>143</v>
      </c>
      <c r="B221" s="149">
        <v>1046916</v>
      </c>
      <c r="C221" s="148" t="s">
        <v>676</v>
      </c>
      <c r="D221" s="150">
        <v>55.42</v>
      </c>
      <c r="E221" s="151" t="s">
        <v>9</v>
      </c>
      <c r="F221" s="152">
        <v>5</v>
      </c>
      <c r="G221" s="152">
        <v>400</v>
      </c>
    </row>
    <row r="222" spans="1:7" ht="15.75" x14ac:dyDescent="0.3">
      <c r="A222" s="148" t="s">
        <v>143</v>
      </c>
      <c r="B222" s="149">
        <v>1046917</v>
      </c>
      <c r="C222" s="148" t="s">
        <v>677</v>
      </c>
      <c r="D222" s="150">
        <v>60.94</v>
      </c>
      <c r="E222" s="151" t="s">
        <v>9</v>
      </c>
      <c r="F222" s="152">
        <v>5</v>
      </c>
      <c r="G222" s="152">
        <v>500</v>
      </c>
    </row>
    <row r="223" spans="1:7" ht="15.75" x14ac:dyDescent="0.3">
      <c r="A223" s="148" t="s">
        <v>143</v>
      </c>
      <c r="B223" s="149">
        <v>1046918</v>
      </c>
      <c r="C223" s="148" t="s">
        <v>678</v>
      </c>
      <c r="D223" s="150">
        <v>59.36</v>
      </c>
      <c r="E223" s="151" t="s">
        <v>9</v>
      </c>
      <c r="F223" s="152">
        <v>5</v>
      </c>
      <c r="G223" s="152">
        <v>400</v>
      </c>
    </row>
    <row r="224" spans="1:7" ht="15.75" x14ac:dyDescent="0.3">
      <c r="A224" s="148" t="s">
        <v>143</v>
      </c>
      <c r="B224" s="149">
        <v>1046919</v>
      </c>
      <c r="C224" s="148" t="s">
        <v>679</v>
      </c>
      <c r="D224" s="150">
        <v>63.31</v>
      </c>
      <c r="E224" s="151" t="s">
        <v>9</v>
      </c>
      <c r="F224" s="152">
        <v>5</v>
      </c>
      <c r="G224" s="152">
        <v>400</v>
      </c>
    </row>
    <row r="225" spans="1:7" ht="15.75" x14ac:dyDescent="0.3">
      <c r="A225" s="148" t="s">
        <v>143</v>
      </c>
      <c r="B225" s="149">
        <v>1046920</v>
      </c>
      <c r="C225" s="148" t="s">
        <v>680</v>
      </c>
      <c r="D225" s="150">
        <v>63.31</v>
      </c>
      <c r="E225" s="151" t="s">
        <v>9</v>
      </c>
      <c r="F225" s="152">
        <v>5</v>
      </c>
      <c r="G225" s="152">
        <v>400</v>
      </c>
    </row>
    <row r="226" spans="1:7" ht="15.75" x14ac:dyDescent="0.3">
      <c r="A226" s="148" t="s">
        <v>143</v>
      </c>
      <c r="B226" s="149">
        <v>1046924</v>
      </c>
      <c r="C226" s="148" t="s">
        <v>681</v>
      </c>
      <c r="D226" s="150">
        <v>75.22</v>
      </c>
      <c r="E226" s="151" t="s">
        <v>9</v>
      </c>
      <c r="F226" s="152">
        <v>3</v>
      </c>
      <c r="G226" s="152">
        <v>300</v>
      </c>
    </row>
    <row r="227" spans="1:7" ht="15.75" x14ac:dyDescent="0.3">
      <c r="A227" s="148" t="s">
        <v>143</v>
      </c>
      <c r="B227" s="149">
        <v>1046925</v>
      </c>
      <c r="C227" s="148" t="s">
        <v>682</v>
      </c>
      <c r="D227" s="150">
        <v>79.150000000000006</v>
      </c>
      <c r="E227" s="151" t="s">
        <v>9</v>
      </c>
      <c r="F227" s="152">
        <v>3</v>
      </c>
      <c r="G227" s="152">
        <v>240</v>
      </c>
    </row>
    <row r="228" spans="1:7" ht="15.75" x14ac:dyDescent="0.3">
      <c r="A228" s="148" t="s">
        <v>143</v>
      </c>
      <c r="B228" s="149">
        <v>1046926</v>
      </c>
      <c r="C228" s="148" t="s">
        <v>683</v>
      </c>
      <c r="D228" s="150">
        <v>79.150000000000006</v>
      </c>
      <c r="E228" s="151" t="s">
        <v>9</v>
      </c>
      <c r="F228" s="152">
        <v>3</v>
      </c>
      <c r="G228" s="152">
        <v>300</v>
      </c>
    </row>
    <row r="229" spans="1:7" ht="15.75" x14ac:dyDescent="0.3">
      <c r="A229" s="148" t="s">
        <v>143</v>
      </c>
      <c r="B229" s="149">
        <v>1046927</v>
      </c>
      <c r="C229" s="148" t="s">
        <v>684</v>
      </c>
      <c r="D229" s="150">
        <v>83.1</v>
      </c>
      <c r="E229" s="151" t="s">
        <v>9</v>
      </c>
      <c r="F229" s="152">
        <v>3</v>
      </c>
      <c r="G229" s="152">
        <v>300</v>
      </c>
    </row>
    <row r="230" spans="1:7" ht="15.75" x14ac:dyDescent="0.3">
      <c r="A230" s="148" t="s">
        <v>143</v>
      </c>
      <c r="B230" s="149">
        <v>1070592</v>
      </c>
      <c r="C230" s="148" t="s">
        <v>685</v>
      </c>
      <c r="D230" s="150">
        <v>13.44</v>
      </c>
      <c r="E230" s="151" t="s">
        <v>9</v>
      </c>
      <c r="F230" s="152">
        <v>10</v>
      </c>
      <c r="G230" s="152">
        <v>40</v>
      </c>
    </row>
    <row r="231" spans="1:7" ht="15.75" x14ac:dyDescent="0.3">
      <c r="A231" s="148" t="s">
        <v>143</v>
      </c>
      <c r="B231" s="149">
        <v>1070593</v>
      </c>
      <c r="C231" s="148" t="s">
        <v>686</v>
      </c>
      <c r="D231" s="150">
        <v>24.59</v>
      </c>
      <c r="E231" s="151" t="s">
        <v>9</v>
      </c>
      <c r="F231" s="152">
        <v>5</v>
      </c>
      <c r="G231" s="152">
        <v>20</v>
      </c>
    </row>
    <row r="232" spans="1:7" ht="15.75" x14ac:dyDescent="0.3">
      <c r="A232" s="148" t="s">
        <v>143</v>
      </c>
      <c r="B232" s="149">
        <v>1070594</v>
      </c>
      <c r="C232" s="148" t="s">
        <v>687</v>
      </c>
      <c r="D232" s="150">
        <v>29.96</v>
      </c>
      <c r="E232" s="151" t="s">
        <v>9</v>
      </c>
      <c r="F232" s="152">
        <v>5</v>
      </c>
      <c r="G232" s="152">
        <v>20</v>
      </c>
    </row>
    <row r="233" spans="1:7" ht="15.75" x14ac:dyDescent="0.3">
      <c r="A233" s="148" t="s">
        <v>143</v>
      </c>
      <c r="B233" s="149">
        <v>1070595</v>
      </c>
      <c r="C233" s="148" t="s">
        <v>688</v>
      </c>
      <c r="D233" s="150">
        <v>13.06</v>
      </c>
      <c r="E233" s="151" t="s">
        <v>9</v>
      </c>
      <c r="F233" s="152">
        <v>10</v>
      </c>
      <c r="G233" s="152">
        <v>40</v>
      </c>
    </row>
    <row r="234" spans="1:7" ht="15.75" x14ac:dyDescent="0.3">
      <c r="A234" s="148" t="s">
        <v>143</v>
      </c>
      <c r="B234" s="149">
        <v>1070596</v>
      </c>
      <c r="C234" s="148" t="s">
        <v>689</v>
      </c>
      <c r="D234" s="150">
        <v>14.98</v>
      </c>
      <c r="E234" s="151" t="s">
        <v>9</v>
      </c>
      <c r="F234" s="152">
        <v>15</v>
      </c>
      <c r="G234" s="152">
        <v>60</v>
      </c>
    </row>
    <row r="235" spans="1:7" ht="15.75" x14ac:dyDescent="0.3">
      <c r="A235" s="148" t="s">
        <v>143</v>
      </c>
      <c r="B235" s="149">
        <v>1070597</v>
      </c>
      <c r="C235" s="148" t="s">
        <v>690</v>
      </c>
      <c r="D235" s="150">
        <v>18.420000000000002</v>
      </c>
      <c r="E235" s="151" t="s">
        <v>9</v>
      </c>
      <c r="F235" s="152">
        <v>10</v>
      </c>
      <c r="G235" s="152">
        <v>40</v>
      </c>
    </row>
    <row r="236" spans="1:7" ht="15.75" x14ac:dyDescent="0.3">
      <c r="A236" s="148" t="s">
        <v>143</v>
      </c>
      <c r="B236" s="149">
        <v>1070598</v>
      </c>
      <c r="C236" s="148" t="s">
        <v>691</v>
      </c>
      <c r="D236" s="150">
        <v>23.04</v>
      </c>
      <c r="E236" s="151" t="s">
        <v>9</v>
      </c>
      <c r="F236" s="152">
        <v>5</v>
      </c>
      <c r="G236" s="152">
        <v>20</v>
      </c>
    </row>
    <row r="237" spans="1:7" ht="15.75" x14ac:dyDescent="0.3">
      <c r="A237" s="148" t="s">
        <v>143</v>
      </c>
      <c r="B237" s="149">
        <v>1070599</v>
      </c>
      <c r="C237" s="148" t="s">
        <v>692</v>
      </c>
      <c r="D237" s="150">
        <v>24.59</v>
      </c>
      <c r="E237" s="151" t="s">
        <v>9</v>
      </c>
      <c r="F237" s="152">
        <v>5</v>
      </c>
      <c r="G237" s="152">
        <v>20</v>
      </c>
    </row>
    <row r="238" spans="1:7" ht="15.75" x14ac:dyDescent="0.3">
      <c r="A238" s="148" t="s">
        <v>143</v>
      </c>
      <c r="B238" s="149">
        <v>1070600</v>
      </c>
      <c r="C238" s="148" t="s">
        <v>693</v>
      </c>
      <c r="D238" s="150">
        <v>29.96</v>
      </c>
      <c r="E238" s="151" t="s">
        <v>9</v>
      </c>
      <c r="F238" s="152">
        <v>5</v>
      </c>
      <c r="G238" s="152">
        <v>20</v>
      </c>
    </row>
    <row r="239" spans="1:7" ht="15.75" x14ac:dyDescent="0.3">
      <c r="A239" s="148" t="s">
        <v>143</v>
      </c>
      <c r="B239" s="149">
        <v>1070601</v>
      </c>
      <c r="C239" s="148" t="s">
        <v>694</v>
      </c>
      <c r="D239" s="150">
        <v>31.49</v>
      </c>
      <c r="E239" s="151" t="s">
        <v>9</v>
      </c>
      <c r="F239" s="152">
        <v>5</v>
      </c>
      <c r="G239" s="152">
        <v>20</v>
      </c>
    </row>
    <row r="240" spans="1:7" ht="15.75" x14ac:dyDescent="0.3">
      <c r="A240" s="148" t="s">
        <v>143</v>
      </c>
      <c r="B240" s="149">
        <v>1046922</v>
      </c>
      <c r="C240" s="148" t="s">
        <v>695</v>
      </c>
      <c r="D240" s="150">
        <v>52.24</v>
      </c>
      <c r="E240" s="151" t="s">
        <v>9</v>
      </c>
      <c r="F240" s="152">
        <v>5</v>
      </c>
      <c r="G240" s="152">
        <v>500</v>
      </c>
    </row>
    <row r="241" spans="1:7" ht="15.75" x14ac:dyDescent="0.3">
      <c r="A241" s="148" t="s">
        <v>143</v>
      </c>
      <c r="B241" s="149">
        <v>1046923</v>
      </c>
      <c r="C241" s="148" t="s">
        <v>696</v>
      </c>
      <c r="D241" s="150">
        <v>52.24</v>
      </c>
      <c r="E241" s="151" t="s">
        <v>9</v>
      </c>
      <c r="F241" s="152">
        <v>5</v>
      </c>
      <c r="G241" s="152">
        <v>400</v>
      </c>
    </row>
    <row r="242" spans="1:7" ht="15.75" x14ac:dyDescent="0.3">
      <c r="A242" s="148" t="s">
        <v>143</v>
      </c>
      <c r="B242" s="149">
        <v>1046929</v>
      </c>
      <c r="C242" s="148" t="s">
        <v>697</v>
      </c>
      <c r="D242" s="150">
        <v>75.22</v>
      </c>
      <c r="E242" s="151" t="s">
        <v>9</v>
      </c>
      <c r="F242" s="152">
        <v>3</v>
      </c>
      <c r="G242" s="152">
        <v>240</v>
      </c>
    </row>
    <row r="243" spans="1:7" ht="15.75" x14ac:dyDescent="0.3">
      <c r="A243" s="148" t="s">
        <v>143</v>
      </c>
      <c r="B243" s="149">
        <v>1070708</v>
      </c>
      <c r="C243" s="148" t="s">
        <v>698</v>
      </c>
      <c r="D243" s="150">
        <v>13.06</v>
      </c>
      <c r="E243" s="151" t="s">
        <v>9</v>
      </c>
      <c r="F243" s="152">
        <v>1</v>
      </c>
      <c r="G243" s="152">
        <v>25</v>
      </c>
    </row>
    <row r="244" spans="1:7" ht="15.75" x14ac:dyDescent="0.3">
      <c r="A244" s="148" t="s">
        <v>143</v>
      </c>
      <c r="B244" s="149">
        <v>1070602</v>
      </c>
      <c r="C244" s="148" t="s">
        <v>699</v>
      </c>
      <c r="D244" s="150">
        <v>13.06</v>
      </c>
      <c r="E244" s="151" t="s">
        <v>9</v>
      </c>
      <c r="F244" s="152">
        <v>1</v>
      </c>
      <c r="G244" s="152">
        <v>30</v>
      </c>
    </row>
    <row r="245" spans="1:7" ht="15.75" x14ac:dyDescent="0.3">
      <c r="A245" s="148" t="s">
        <v>143</v>
      </c>
      <c r="B245" s="149">
        <v>1070603</v>
      </c>
      <c r="C245" s="148" t="s">
        <v>700</v>
      </c>
      <c r="D245" s="150">
        <v>13.06</v>
      </c>
      <c r="E245" s="151" t="s">
        <v>9</v>
      </c>
      <c r="F245" s="152">
        <v>1</v>
      </c>
      <c r="G245" s="152">
        <v>20</v>
      </c>
    </row>
    <row r="246" spans="1:7" ht="15.75" x14ac:dyDescent="0.3">
      <c r="A246" s="148" t="s">
        <v>143</v>
      </c>
      <c r="B246" s="149">
        <v>1070604</v>
      </c>
      <c r="C246" s="148" t="s">
        <v>701</v>
      </c>
      <c r="D246" s="150">
        <v>13.82</v>
      </c>
      <c r="E246" s="151" t="s">
        <v>9</v>
      </c>
      <c r="F246" s="152">
        <v>1</v>
      </c>
      <c r="G246" s="152">
        <v>20</v>
      </c>
    </row>
    <row r="247" spans="1:7" ht="15.75" x14ac:dyDescent="0.3">
      <c r="A247" s="148" t="s">
        <v>143</v>
      </c>
      <c r="B247" s="149">
        <v>1070605</v>
      </c>
      <c r="C247" s="148" t="s">
        <v>702</v>
      </c>
      <c r="D247" s="150">
        <v>13.82</v>
      </c>
      <c r="E247" s="151" t="s">
        <v>9</v>
      </c>
      <c r="F247" s="152">
        <v>1</v>
      </c>
      <c r="G247" s="152">
        <v>20</v>
      </c>
    </row>
    <row r="248" spans="1:7" ht="15.75" x14ac:dyDescent="0.3">
      <c r="A248" s="148" t="s">
        <v>143</v>
      </c>
      <c r="B248" s="149">
        <v>1070606</v>
      </c>
      <c r="C248" s="148" t="s">
        <v>703</v>
      </c>
      <c r="D248" s="150">
        <v>19.829999999999998</v>
      </c>
      <c r="E248" s="151" t="s">
        <v>9</v>
      </c>
      <c r="F248" s="152">
        <v>1</v>
      </c>
      <c r="G248" s="152">
        <v>15</v>
      </c>
    </row>
    <row r="249" spans="1:7" ht="15.75" x14ac:dyDescent="0.3">
      <c r="A249" s="148" t="s">
        <v>143</v>
      </c>
      <c r="B249" s="149">
        <v>1070607</v>
      </c>
      <c r="C249" s="148" t="s">
        <v>704</v>
      </c>
      <c r="D249" s="150">
        <v>19.829999999999998</v>
      </c>
      <c r="E249" s="151" t="s">
        <v>9</v>
      </c>
      <c r="F249" s="152">
        <v>1</v>
      </c>
      <c r="G249" s="152">
        <v>15</v>
      </c>
    </row>
    <row r="250" spans="1:7" ht="15.75" x14ac:dyDescent="0.3">
      <c r="A250" s="148" t="s">
        <v>143</v>
      </c>
      <c r="B250" s="149">
        <v>1070608</v>
      </c>
      <c r="C250" s="148" t="s">
        <v>705</v>
      </c>
      <c r="D250" s="150">
        <v>26.13</v>
      </c>
      <c r="E250" s="151" t="s">
        <v>9</v>
      </c>
      <c r="F250" s="152">
        <v>1</v>
      </c>
      <c r="G250" s="152">
        <v>10</v>
      </c>
    </row>
    <row r="251" spans="1:7" ht="15.75" x14ac:dyDescent="0.3">
      <c r="A251" s="148" t="s">
        <v>143</v>
      </c>
      <c r="B251" s="149">
        <v>1070609</v>
      </c>
      <c r="C251" s="148" t="s">
        <v>706</v>
      </c>
      <c r="D251" s="150">
        <v>29.92</v>
      </c>
      <c r="E251" s="151" t="s">
        <v>9</v>
      </c>
      <c r="F251" s="152">
        <v>1</v>
      </c>
      <c r="G251" s="152">
        <v>10</v>
      </c>
    </row>
    <row r="252" spans="1:7" ht="15.75" x14ac:dyDescent="0.3">
      <c r="A252" s="148" t="s">
        <v>143</v>
      </c>
      <c r="B252" s="149">
        <v>1070610</v>
      </c>
      <c r="C252" s="148" t="s">
        <v>707</v>
      </c>
      <c r="D252" s="150">
        <v>33.81</v>
      </c>
      <c r="E252" s="151" t="s">
        <v>9</v>
      </c>
      <c r="F252" s="152">
        <v>1</v>
      </c>
      <c r="G252" s="152">
        <v>10</v>
      </c>
    </row>
    <row r="253" spans="1:7" ht="15.75" x14ac:dyDescent="0.3">
      <c r="A253" s="148" t="s">
        <v>143</v>
      </c>
      <c r="B253" s="149">
        <v>1046937</v>
      </c>
      <c r="C253" s="148" t="s">
        <v>708</v>
      </c>
      <c r="D253" s="150">
        <v>55.42</v>
      </c>
      <c r="E253" s="151" t="s">
        <v>9</v>
      </c>
      <c r="F253" s="152">
        <v>5</v>
      </c>
      <c r="G253" s="152">
        <v>960</v>
      </c>
    </row>
    <row r="254" spans="1:7" ht="15.75" x14ac:dyDescent="0.3">
      <c r="A254" s="148" t="s">
        <v>143</v>
      </c>
      <c r="B254" s="149">
        <v>1046938</v>
      </c>
      <c r="C254" s="148" t="s">
        <v>709</v>
      </c>
      <c r="D254" s="150">
        <v>58.57</v>
      </c>
      <c r="E254" s="151" t="s">
        <v>9</v>
      </c>
      <c r="F254" s="152">
        <v>3</v>
      </c>
      <c r="G254" s="152">
        <v>1152</v>
      </c>
    </row>
    <row r="255" spans="1:7" ht="15.75" x14ac:dyDescent="0.3">
      <c r="A255" s="148" t="s">
        <v>143</v>
      </c>
      <c r="B255" s="149">
        <v>1046939</v>
      </c>
      <c r="C255" s="148" t="s">
        <v>710</v>
      </c>
      <c r="D255" s="150">
        <v>63.31</v>
      </c>
      <c r="E255" s="151" t="s">
        <v>9</v>
      </c>
      <c r="F255" s="152">
        <v>3</v>
      </c>
      <c r="G255" s="152">
        <v>576</v>
      </c>
    </row>
    <row r="256" spans="1:7" ht="15.75" x14ac:dyDescent="0.3">
      <c r="A256" s="148" t="s">
        <v>143</v>
      </c>
      <c r="B256" s="149">
        <v>1070611</v>
      </c>
      <c r="C256" s="148" t="s">
        <v>711</v>
      </c>
      <c r="D256" s="150">
        <v>11.26</v>
      </c>
      <c r="E256" s="151" t="s">
        <v>9</v>
      </c>
      <c r="F256" s="152">
        <v>1</v>
      </c>
      <c r="G256" s="152">
        <v>20</v>
      </c>
    </row>
    <row r="257" spans="1:7" ht="15.75" x14ac:dyDescent="0.3">
      <c r="A257" s="148" t="s">
        <v>143</v>
      </c>
      <c r="B257" s="149">
        <v>1070612</v>
      </c>
      <c r="C257" s="148" t="s">
        <v>712</v>
      </c>
      <c r="D257" s="150">
        <v>11.26</v>
      </c>
      <c r="E257" s="151" t="s">
        <v>9</v>
      </c>
      <c r="F257" s="152">
        <v>1</v>
      </c>
      <c r="G257" s="152">
        <v>20</v>
      </c>
    </row>
    <row r="258" spans="1:7" ht="15.75" x14ac:dyDescent="0.3">
      <c r="A258" s="148" t="s">
        <v>143</v>
      </c>
      <c r="B258" s="149">
        <v>1105818</v>
      </c>
      <c r="C258" s="148" t="s">
        <v>713</v>
      </c>
      <c r="D258" s="150">
        <v>12.28</v>
      </c>
      <c r="E258" s="151" t="s">
        <v>9</v>
      </c>
      <c r="F258" s="152">
        <v>1</v>
      </c>
      <c r="G258" s="152">
        <v>10</v>
      </c>
    </row>
    <row r="259" spans="1:7" ht="15.75" x14ac:dyDescent="0.3">
      <c r="A259" s="148" t="s">
        <v>143</v>
      </c>
      <c r="B259" s="149">
        <v>1070613</v>
      </c>
      <c r="C259" s="148" t="s">
        <v>714</v>
      </c>
      <c r="D259" s="150">
        <v>11.96</v>
      </c>
      <c r="E259" s="151" t="s">
        <v>9</v>
      </c>
      <c r="F259" s="152">
        <v>1</v>
      </c>
      <c r="G259" s="152">
        <v>20</v>
      </c>
    </row>
    <row r="260" spans="1:7" ht="15.75" x14ac:dyDescent="0.3">
      <c r="A260" s="148" t="s">
        <v>143</v>
      </c>
      <c r="B260" s="149">
        <v>1105819</v>
      </c>
      <c r="C260" s="148" t="s">
        <v>715</v>
      </c>
      <c r="D260" s="150">
        <v>12.74</v>
      </c>
      <c r="E260" s="151" t="s">
        <v>9</v>
      </c>
      <c r="F260" s="152">
        <v>1</v>
      </c>
      <c r="G260" s="152">
        <v>10</v>
      </c>
    </row>
    <row r="261" spans="1:7" ht="15.75" x14ac:dyDescent="0.3">
      <c r="A261" s="148" t="s">
        <v>143</v>
      </c>
      <c r="B261" s="149">
        <v>1070614</v>
      </c>
      <c r="C261" s="148" t="s">
        <v>716</v>
      </c>
      <c r="D261" s="150">
        <v>14.87</v>
      </c>
      <c r="E261" s="151" t="s">
        <v>9</v>
      </c>
      <c r="F261" s="152">
        <v>1</v>
      </c>
      <c r="G261" s="152">
        <v>10</v>
      </c>
    </row>
    <row r="262" spans="1:7" ht="15.75" x14ac:dyDescent="0.3">
      <c r="A262" s="148" t="s">
        <v>143</v>
      </c>
      <c r="B262" s="149">
        <v>1070638</v>
      </c>
      <c r="C262" s="148" t="s">
        <v>717</v>
      </c>
      <c r="D262" s="150">
        <v>11.41</v>
      </c>
      <c r="E262" s="151" t="s">
        <v>9</v>
      </c>
      <c r="F262" s="152">
        <v>10</v>
      </c>
      <c r="G262" s="152">
        <v>40</v>
      </c>
    </row>
    <row r="263" spans="1:7" ht="15.75" x14ac:dyDescent="0.3">
      <c r="A263" s="148" t="s">
        <v>143</v>
      </c>
      <c r="B263" s="149">
        <v>1070639</v>
      </c>
      <c r="C263" s="148" t="s">
        <v>718</v>
      </c>
      <c r="D263" s="150">
        <v>11.41</v>
      </c>
      <c r="E263" s="151" t="s">
        <v>9</v>
      </c>
      <c r="F263" s="152">
        <v>10</v>
      </c>
      <c r="G263" s="152">
        <v>40</v>
      </c>
    </row>
    <row r="264" spans="1:7" ht="15.75" x14ac:dyDescent="0.3">
      <c r="A264" s="148" t="s">
        <v>143</v>
      </c>
      <c r="B264" s="149">
        <v>1070640</v>
      </c>
      <c r="C264" s="148" t="s">
        <v>719</v>
      </c>
      <c r="D264" s="150">
        <v>16.14</v>
      </c>
      <c r="E264" s="151" t="s">
        <v>9</v>
      </c>
      <c r="F264" s="152">
        <v>10</v>
      </c>
      <c r="G264" s="152">
        <v>40</v>
      </c>
    </row>
    <row r="265" spans="1:7" ht="15.75" x14ac:dyDescent="0.3">
      <c r="A265" s="148" t="s">
        <v>143</v>
      </c>
      <c r="B265" s="149">
        <v>1070641</v>
      </c>
      <c r="C265" s="148" t="s">
        <v>720</v>
      </c>
      <c r="D265" s="150">
        <v>16.52</v>
      </c>
      <c r="E265" s="151" t="s">
        <v>9</v>
      </c>
      <c r="F265" s="152">
        <v>5</v>
      </c>
      <c r="G265" s="152">
        <v>20</v>
      </c>
    </row>
    <row r="266" spans="1:7" ht="15.75" x14ac:dyDescent="0.3">
      <c r="A266" s="148" t="s">
        <v>143</v>
      </c>
      <c r="B266" s="149">
        <v>1070642</v>
      </c>
      <c r="C266" s="148" t="s">
        <v>721</v>
      </c>
      <c r="D266" s="150">
        <v>22.95</v>
      </c>
      <c r="E266" s="151" t="s">
        <v>9</v>
      </c>
      <c r="F266" s="152">
        <v>5</v>
      </c>
      <c r="G266" s="152">
        <v>20</v>
      </c>
    </row>
    <row r="267" spans="1:7" ht="15.75" x14ac:dyDescent="0.3">
      <c r="A267" s="148" t="s">
        <v>143</v>
      </c>
      <c r="B267" s="149">
        <v>1070644</v>
      </c>
      <c r="C267" s="148" t="s">
        <v>722</v>
      </c>
      <c r="D267" s="150">
        <v>11.23</v>
      </c>
      <c r="E267" s="151" t="s">
        <v>9</v>
      </c>
      <c r="F267" s="152">
        <v>10</v>
      </c>
      <c r="G267" s="152">
        <v>40</v>
      </c>
    </row>
    <row r="268" spans="1:7" ht="15.75" x14ac:dyDescent="0.3">
      <c r="A268" s="148" t="s">
        <v>143</v>
      </c>
      <c r="B268" s="149">
        <v>1070645</v>
      </c>
      <c r="C268" s="148" t="s">
        <v>723</v>
      </c>
      <c r="D268" s="150">
        <v>18.23</v>
      </c>
      <c r="E268" s="151" t="s">
        <v>9</v>
      </c>
      <c r="F268" s="152">
        <v>10</v>
      </c>
      <c r="G268" s="152">
        <v>40</v>
      </c>
    </row>
    <row r="269" spans="1:7" ht="15.75" x14ac:dyDescent="0.3">
      <c r="A269" s="148" t="s">
        <v>143</v>
      </c>
      <c r="B269" s="149">
        <v>1070646</v>
      </c>
      <c r="C269" s="148" t="s">
        <v>724</v>
      </c>
      <c r="D269" s="150">
        <v>19.510000000000002</v>
      </c>
      <c r="E269" s="151" t="s">
        <v>9</v>
      </c>
      <c r="F269" s="152">
        <v>10</v>
      </c>
      <c r="G269" s="152">
        <v>40</v>
      </c>
    </row>
    <row r="270" spans="1:7" ht="15.75" x14ac:dyDescent="0.3">
      <c r="A270" s="148" t="s">
        <v>143</v>
      </c>
      <c r="B270" s="149">
        <v>1070647</v>
      </c>
      <c r="C270" s="148" t="s">
        <v>725</v>
      </c>
      <c r="D270" s="150">
        <v>21.17</v>
      </c>
      <c r="E270" s="151" t="s">
        <v>9</v>
      </c>
      <c r="F270" s="152">
        <v>10</v>
      </c>
      <c r="G270" s="152">
        <v>40</v>
      </c>
    </row>
    <row r="271" spans="1:7" ht="15.75" x14ac:dyDescent="0.3">
      <c r="A271" s="148" t="s">
        <v>143</v>
      </c>
      <c r="B271" s="149">
        <v>1070643</v>
      </c>
      <c r="C271" s="148" t="s">
        <v>726</v>
      </c>
      <c r="D271" s="150">
        <v>65.39</v>
      </c>
      <c r="E271" s="151" t="s">
        <v>9</v>
      </c>
      <c r="F271" s="152">
        <v>1</v>
      </c>
      <c r="G271" s="152">
        <v>20</v>
      </c>
    </row>
    <row r="272" spans="1:7" ht="15.75" x14ac:dyDescent="0.3">
      <c r="A272" s="148" t="s">
        <v>143</v>
      </c>
      <c r="B272" s="149">
        <v>1070665</v>
      </c>
      <c r="C272" s="148" t="s">
        <v>727</v>
      </c>
      <c r="D272" s="150">
        <v>9.6300000000000008</v>
      </c>
      <c r="E272" s="151" t="s">
        <v>9</v>
      </c>
      <c r="F272" s="152">
        <v>75</v>
      </c>
      <c r="G272" s="152">
        <v>4800</v>
      </c>
    </row>
    <row r="273" spans="1:7" ht="15.75" x14ac:dyDescent="0.3">
      <c r="A273" s="148" t="s">
        <v>143</v>
      </c>
      <c r="B273" s="149">
        <v>1070629</v>
      </c>
      <c r="C273" s="148" t="s">
        <v>728</v>
      </c>
      <c r="D273" s="150">
        <v>57.06</v>
      </c>
      <c r="E273" s="151" t="s">
        <v>9</v>
      </c>
      <c r="F273" s="152">
        <v>5</v>
      </c>
      <c r="G273" s="152">
        <v>20</v>
      </c>
    </row>
    <row r="274" spans="1:7" ht="15.75" x14ac:dyDescent="0.3">
      <c r="A274" s="148" t="s">
        <v>143</v>
      </c>
      <c r="B274" s="149">
        <v>1070630</v>
      </c>
      <c r="C274" s="148" t="s">
        <v>729</v>
      </c>
      <c r="D274" s="150">
        <v>57.06</v>
      </c>
      <c r="E274" s="151" t="s">
        <v>9</v>
      </c>
      <c r="F274" s="152">
        <v>5</v>
      </c>
      <c r="G274" s="152">
        <v>960</v>
      </c>
    </row>
    <row r="275" spans="1:7" ht="15.75" x14ac:dyDescent="0.3">
      <c r="A275" s="148" t="s">
        <v>143</v>
      </c>
      <c r="B275" s="149">
        <v>1070631</v>
      </c>
      <c r="C275" s="148" t="s">
        <v>730</v>
      </c>
      <c r="D275" s="150">
        <v>77.47</v>
      </c>
      <c r="E275" s="151" t="s">
        <v>9</v>
      </c>
      <c r="F275" s="152">
        <v>5</v>
      </c>
      <c r="G275" s="152">
        <v>960</v>
      </c>
    </row>
    <row r="276" spans="1:7" ht="15.75" x14ac:dyDescent="0.3">
      <c r="A276" s="148" t="s">
        <v>143</v>
      </c>
      <c r="B276" s="149">
        <v>1070632</v>
      </c>
      <c r="C276" s="148" t="s">
        <v>731</v>
      </c>
      <c r="D276" s="150">
        <v>77.47</v>
      </c>
      <c r="E276" s="151" t="s">
        <v>9</v>
      </c>
      <c r="F276" s="152">
        <v>5</v>
      </c>
      <c r="G276" s="152">
        <v>960</v>
      </c>
    </row>
    <row r="277" spans="1:7" ht="15.75" x14ac:dyDescent="0.3">
      <c r="A277" s="148" t="s">
        <v>143</v>
      </c>
      <c r="B277" s="149">
        <v>1070633</v>
      </c>
      <c r="C277" s="148" t="s">
        <v>732</v>
      </c>
      <c r="D277" s="150">
        <v>114.7</v>
      </c>
      <c r="E277" s="151" t="s">
        <v>9</v>
      </c>
      <c r="F277" s="152">
        <v>3</v>
      </c>
      <c r="G277" s="152">
        <v>576</v>
      </c>
    </row>
    <row r="278" spans="1:7" ht="15.75" x14ac:dyDescent="0.3">
      <c r="A278" s="148" t="s">
        <v>143</v>
      </c>
      <c r="B278" s="149">
        <v>1070634</v>
      </c>
      <c r="C278" s="148" t="s">
        <v>733</v>
      </c>
      <c r="D278" s="150">
        <v>147.08000000000001</v>
      </c>
      <c r="E278" s="151" t="s">
        <v>9</v>
      </c>
      <c r="F278" s="152">
        <v>3</v>
      </c>
      <c r="G278" s="152">
        <v>576</v>
      </c>
    </row>
    <row r="279" spans="1:7" ht="15.75" x14ac:dyDescent="0.3">
      <c r="A279" s="148" t="s">
        <v>143</v>
      </c>
      <c r="B279" s="149">
        <v>1070635</v>
      </c>
      <c r="C279" s="148" t="s">
        <v>734</v>
      </c>
      <c r="D279" s="150">
        <v>147.08000000000001</v>
      </c>
      <c r="E279" s="151" t="s">
        <v>9</v>
      </c>
      <c r="F279" s="152">
        <v>3</v>
      </c>
      <c r="G279" s="152">
        <v>576</v>
      </c>
    </row>
    <row r="280" spans="1:7" ht="15.75" x14ac:dyDescent="0.3">
      <c r="A280" s="148" t="s">
        <v>143</v>
      </c>
      <c r="B280" s="149">
        <v>1070636</v>
      </c>
      <c r="C280" s="148" t="s">
        <v>735</v>
      </c>
      <c r="D280" s="150">
        <v>83.8</v>
      </c>
      <c r="E280" s="151" t="s">
        <v>9</v>
      </c>
      <c r="F280" s="152">
        <v>5</v>
      </c>
      <c r="G280" s="152">
        <v>960</v>
      </c>
    </row>
    <row r="281" spans="1:7" ht="15.75" x14ac:dyDescent="0.3">
      <c r="A281" s="148" t="s">
        <v>143</v>
      </c>
      <c r="B281" s="149">
        <v>1070637</v>
      </c>
      <c r="C281" s="148" t="s">
        <v>736</v>
      </c>
      <c r="D281" s="150">
        <v>89.13</v>
      </c>
      <c r="E281" s="151" t="s">
        <v>9</v>
      </c>
      <c r="F281" s="152">
        <v>5</v>
      </c>
      <c r="G281" s="152">
        <v>960</v>
      </c>
    </row>
    <row r="282" spans="1:7" ht="15.75" x14ac:dyDescent="0.3">
      <c r="A282" s="148" t="s">
        <v>143</v>
      </c>
      <c r="B282" s="149">
        <v>1070648</v>
      </c>
      <c r="C282" s="148" t="s">
        <v>737</v>
      </c>
      <c r="D282" s="150">
        <v>29.97</v>
      </c>
      <c r="E282" s="151" t="s">
        <v>9</v>
      </c>
      <c r="F282" s="152">
        <v>10</v>
      </c>
      <c r="G282" s="152">
        <v>40</v>
      </c>
    </row>
    <row r="283" spans="1:7" ht="15.75" x14ac:dyDescent="0.3">
      <c r="A283" s="148" t="s">
        <v>143</v>
      </c>
      <c r="B283" s="149">
        <v>1070649</v>
      </c>
      <c r="C283" s="148" t="s">
        <v>738</v>
      </c>
      <c r="D283" s="150">
        <v>29.8</v>
      </c>
      <c r="E283" s="151" t="s">
        <v>9</v>
      </c>
      <c r="F283" s="152">
        <v>10</v>
      </c>
      <c r="G283" s="152">
        <v>40</v>
      </c>
    </row>
    <row r="284" spans="1:7" ht="15.75" x14ac:dyDescent="0.3">
      <c r="A284" s="148" t="s">
        <v>143</v>
      </c>
      <c r="B284" s="149">
        <v>1070657</v>
      </c>
      <c r="C284" s="148" t="s">
        <v>739</v>
      </c>
      <c r="D284" s="150">
        <v>28.31</v>
      </c>
      <c r="E284" s="151" t="s">
        <v>9</v>
      </c>
      <c r="F284" s="152">
        <v>1</v>
      </c>
      <c r="G284" s="152">
        <v>10</v>
      </c>
    </row>
    <row r="285" spans="1:7" ht="15.75" x14ac:dyDescent="0.3">
      <c r="A285" s="148" t="s">
        <v>143</v>
      </c>
      <c r="B285" s="149">
        <v>1070659</v>
      </c>
      <c r="C285" s="148" t="s">
        <v>740</v>
      </c>
      <c r="D285" s="150">
        <v>16.62</v>
      </c>
      <c r="E285" s="151" t="s">
        <v>9</v>
      </c>
      <c r="F285" s="152">
        <v>1</v>
      </c>
      <c r="G285" s="152">
        <v>10</v>
      </c>
    </row>
    <row r="286" spans="1:7" ht="15.75" x14ac:dyDescent="0.3">
      <c r="A286" s="148" t="s">
        <v>143</v>
      </c>
      <c r="B286" s="149">
        <v>1070658</v>
      </c>
      <c r="C286" s="148" t="s">
        <v>741</v>
      </c>
      <c r="D286" s="150">
        <v>7.32</v>
      </c>
      <c r="E286" s="151" t="s">
        <v>9</v>
      </c>
      <c r="F286" s="152">
        <v>20</v>
      </c>
      <c r="G286" s="152">
        <v>80</v>
      </c>
    </row>
    <row r="287" spans="1:7" ht="15.75" x14ac:dyDescent="0.3">
      <c r="A287" s="148" t="s">
        <v>143</v>
      </c>
      <c r="B287" s="149">
        <v>1070621</v>
      </c>
      <c r="C287" s="148" t="s">
        <v>742</v>
      </c>
      <c r="D287" s="150">
        <v>3.94</v>
      </c>
      <c r="E287" s="151" t="s">
        <v>9</v>
      </c>
      <c r="F287" s="152">
        <v>40</v>
      </c>
      <c r="G287" s="152">
        <v>160</v>
      </c>
    </row>
    <row r="288" spans="1:7" ht="15.75" x14ac:dyDescent="0.3">
      <c r="A288" s="148" t="s">
        <v>143</v>
      </c>
      <c r="B288" s="149">
        <v>1070622</v>
      </c>
      <c r="C288" s="148" t="s">
        <v>743</v>
      </c>
      <c r="D288" s="150">
        <v>4.75</v>
      </c>
      <c r="E288" s="151" t="s">
        <v>9</v>
      </c>
      <c r="F288" s="152">
        <v>20</v>
      </c>
      <c r="G288" s="152">
        <v>7680</v>
      </c>
    </row>
    <row r="289" spans="1:7" ht="15.75" x14ac:dyDescent="0.3">
      <c r="A289" s="148" t="s">
        <v>143</v>
      </c>
      <c r="B289" s="149">
        <v>1070623</v>
      </c>
      <c r="C289" s="148" t="s">
        <v>744</v>
      </c>
      <c r="D289" s="150">
        <v>8.36</v>
      </c>
      <c r="E289" s="151" t="s">
        <v>9</v>
      </c>
      <c r="F289" s="152">
        <v>10</v>
      </c>
      <c r="G289" s="152">
        <v>3840</v>
      </c>
    </row>
    <row r="290" spans="1:7" ht="15.75" x14ac:dyDescent="0.3">
      <c r="A290" s="148" t="s">
        <v>143</v>
      </c>
      <c r="B290" s="149">
        <v>1070624</v>
      </c>
      <c r="C290" s="148" t="s">
        <v>745</v>
      </c>
      <c r="D290" s="150">
        <v>14.05</v>
      </c>
      <c r="E290" s="151" t="s">
        <v>9</v>
      </c>
      <c r="F290" s="152">
        <v>5</v>
      </c>
      <c r="G290" s="152">
        <v>1920</v>
      </c>
    </row>
    <row r="291" spans="1:7" ht="15.75" x14ac:dyDescent="0.3">
      <c r="A291" s="148" t="s">
        <v>143</v>
      </c>
      <c r="B291" s="149">
        <v>1013756</v>
      </c>
      <c r="C291" s="148" t="s">
        <v>746</v>
      </c>
      <c r="D291" s="150">
        <v>10.37</v>
      </c>
      <c r="E291" s="151" t="s">
        <v>9</v>
      </c>
      <c r="F291" s="152">
        <v>20</v>
      </c>
      <c r="G291" s="152">
        <v>7680</v>
      </c>
    </row>
    <row r="292" spans="1:7" ht="15.75" x14ac:dyDescent="0.3">
      <c r="A292" s="148" t="s">
        <v>143</v>
      </c>
      <c r="B292" s="149">
        <v>1013760</v>
      </c>
      <c r="C292" s="148" t="s">
        <v>747</v>
      </c>
      <c r="D292" s="150">
        <v>10.81</v>
      </c>
      <c r="E292" s="151" t="s">
        <v>9</v>
      </c>
      <c r="F292" s="152">
        <v>20</v>
      </c>
      <c r="G292" s="152">
        <v>3840</v>
      </c>
    </row>
    <row r="293" spans="1:7" ht="15.75" x14ac:dyDescent="0.3">
      <c r="A293" s="148" t="s">
        <v>143</v>
      </c>
      <c r="B293" s="149">
        <v>1013762</v>
      </c>
      <c r="C293" s="148" t="s">
        <v>748</v>
      </c>
      <c r="D293" s="150">
        <v>12.13</v>
      </c>
      <c r="E293" s="151" t="s">
        <v>9</v>
      </c>
      <c r="F293" s="152">
        <v>10</v>
      </c>
      <c r="G293" s="152">
        <v>3840</v>
      </c>
    </row>
    <row r="294" spans="1:7" ht="15.75" x14ac:dyDescent="0.3">
      <c r="A294" s="148" t="s">
        <v>143</v>
      </c>
      <c r="B294" s="149">
        <v>1013764</v>
      </c>
      <c r="C294" s="148" t="s">
        <v>749</v>
      </c>
      <c r="D294" s="150">
        <v>18.13</v>
      </c>
      <c r="E294" s="151" t="s">
        <v>9</v>
      </c>
      <c r="F294" s="152">
        <v>10</v>
      </c>
      <c r="G294" s="152">
        <v>3840</v>
      </c>
    </row>
    <row r="295" spans="1:7" ht="15.75" x14ac:dyDescent="0.3">
      <c r="A295" s="148" t="s">
        <v>143</v>
      </c>
      <c r="B295" s="149">
        <v>1013765</v>
      </c>
      <c r="C295" s="148" t="s">
        <v>750</v>
      </c>
      <c r="D295" s="150">
        <v>23.82</v>
      </c>
      <c r="E295" s="151" t="s">
        <v>9</v>
      </c>
      <c r="F295" s="152">
        <v>5</v>
      </c>
      <c r="G295" s="152">
        <v>960</v>
      </c>
    </row>
    <row r="296" spans="1:7" ht="15.75" x14ac:dyDescent="0.3">
      <c r="A296" s="148" t="s">
        <v>143</v>
      </c>
      <c r="B296" s="149">
        <v>1070666</v>
      </c>
      <c r="C296" s="148" t="s">
        <v>751</v>
      </c>
      <c r="D296" s="150">
        <v>36</v>
      </c>
      <c r="E296" s="151" t="s">
        <v>9</v>
      </c>
      <c r="F296" s="152">
        <v>5</v>
      </c>
      <c r="G296" s="152">
        <v>150</v>
      </c>
    </row>
    <row r="297" spans="1:7" ht="15.75" x14ac:dyDescent="0.3">
      <c r="A297" s="148" t="s">
        <v>143</v>
      </c>
      <c r="B297" s="149">
        <v>1070661</v>
      </c>
      <c r="C297" s="148" t="s">
        <v>752</v>
      </c>
      <c r="D297" s="150">
        <v>26.42</v>
      </c>
      <c r="E297" s="151" t="s">
        <v>9</v>
      </c>
      <c r="F297" s="152">
        <v>1</v>
      </c>
      <c r="G297" s="152">
        <v>5</v>
      </c>
    </row>
    <row r="298" spans="1:7" ht="15.75" x14ac:dyDescent="0.3">
      <c r="A298" s="148" t="s">
        <v>143</v>
      </c>
      <c r="B298" s="149">
        <v>1070662</v>
      </c>
      <c r="C298" s="148" t="s">
        <v>751</v>
      </c>
      <c r="D298" s="150">
        <v>27.1</v>
      </c>
      <c r="E298" s="151" t="s">
        <v>9</v>
      </c>
      <c r="F298" s="152">
        <v>5</v>
      </c>
      <c r="G298" s="152">
        <v>380</v>
      </c>
    </row>
    <row r="299" spans="1:7" ht="15.75" x14ac:dyDescent="0.3">
      <c r="A299" s="148" t="s">
        <v>143</v>
      </c>
      <c r="B299" s="149">
        <v>1070663</v>
      </c>
      <c r="C299" s="148" t="s">
        <v>753</v>
      </c>
      <c r="D299" s="150">
        <v>17.66</v>
      </c>
      <c r="E299" s="151" t="s">
        <v>9</v>
      </c>
      <c r="F299" s="152">
        <v>5</v>
      </c>
      <c r="G299" s="152">
        <v>720</v>
      </c>
    </row>
    <row r="300" spans="1:7" ht="15.75" x14ac:dyDescent="0.3">
      <c r="A300" s="148" t="s">
        <v>143</v>
      </c>
      <c r="B300" s="149">
        <v>1070664</v>
      </c>
      <c r="C300" s="148" t="s">
        <v>754</v>
      </c>
      <c r="D300" s="150">
        <v>17.82</v>
      </c>
      <c r="E300" s="151" t="s">
        <v>9</v>
      </c>
      <c r="F300" s="152">
        <v>5</v>
      </c>
      <c r="G300" s="152">
        <v>720</v>
      </c>
    </row>
    <row r="301" spans="1:7" ht="15.75" x14ac:dyDescent="0.3">
      <c r="A301" s="148" t="s">
        <v>143</v>
      </c>
      <c r="B301" s="149">
        <v>1070650</v>
      </c>
      <c r="C301" s="148" t="s">
        <v>755</v>
      </c>
      <c r="D301" s="150">
        <v>13.19</v>
      </c>
      <c r="E301" s="151" t="s">
        <v>9</v>
      </c>
      <c r="F301" s="152">
        <v>20</v>
      </c>
      <c r="G301" s="152">
        <v>2880</v>
      </c>
    </row>
    <row r="302" spans="1:7" ht="15.75" x14ac:dyDescent="0.3">
      <c r="A302" s="148" t="s">
        <v>143</v>
      </c>
      <c r="B302" s="149">
        <v>1070651</v>
      </c>
      <c r="C302" s="148" t="s">
        <v>756</v>
      </c>
      <c r="D302" s="150">
        <v>12.51</v>
      </c>
      <c r="E302" s="151" t="s">
        <v>9</v>
      </c>
      <c r="F302" s="152">
        <v>20</v>
      </c>
      <c r="G302" s="152">
        <v>2880</v>
      </c>
    </row>
    <row r="303" spans="1:7" ht="15.75" x14ac:dyDescent="0.3">
      <c r="A303" s="148" t="s">
        <v>143</v>
      </c>
      <c r="B303" s="149">
        <v>1070652</v>
      </c>
      <c r="C303" s="148" t="s">
        <v>757</v>
      </c>
      <c r="D303" s="150">
        <v>22.43</v>
      </c>
      <c r="E303" s="151" t="s">
        <v>9</v>
      </c>
      <c r="F303" s="152">
        <v>1</v>
      </c>
      <c r="G303" s="152">
        <v>5</v>
      </c>
    </row>
    <row r="304" spans="1:7" ht="15.75" x14ac:dyDescent="0.3">
      <c r="A304" s="148" t="s">
        <v>143</v>
      </c>
      <c r="B304" s="149">
        <v>1070653</v>
      </c>
      <c r="C304" s="148" t="s">
        <v>758</v>
      </c>
      <c r="D304" s="150">
        <v>65.930000000000007</v>
      </c>
      <c r="E304" s="151" t="s">
        <v>9</v>
      </c>
      <c r="F304" s="152">
        <v>1</v>
      </c>
      <c r="G304" s="152">
        <v>5</v>
      </c>
    </row>
    <row r="305" spans="1:7" ht="15.75" x14ac:dyDescent="0.3">
      <c r="A305" s="148" t="s">
        <v>143</v>
      </c>
      <c r="B305" s="149">
        <v>1070654</v>
      </c>
      <c r="C305" s="148" t="s">
        <v>759</v>
      </c>
      <c r="D305" s="150">
        <v>67.56</v>
      </c>
      <c r="E305" s="151" t="s">
        <v>9</v>
      </c>
      <c r="F305" s="152">
        <v>1</v>
      </c>
      <c r="G305" s="152">
        <v>5</v>
      </c>
    </row>
    <row r="306" spans="1:7" ht="15.75" x14ac:dyDescent="0.3">
      <c r="A306" s="148" t="s">
        <v>143</v>
      </c>
      <c r="B306" s="149">
        <v>1070655</v>
      </c>
      <c r="C306" s="148" t="s">
        <v>760</v>
      </c>
      <c r="D306" s="150">
        <v>99.55</v>
      </c>
      <c r="E306" s="151" t="s">
        <v>9</v>
      </c>
      <c r="F306" s="152">
        <v>1</v>
      </c>
      <c r="G306" s="152">
        <v>5</v>
      </c>
    </row>
    <row r="307" spans="1:7" ht="15.75" x14ac:dyDescent="0.3">
      <c r="A307" s="148" t="s">
        <v>143</v>
      </c>
      <c r="B307" s="149">
        <v>1070656</v>
      </c>
      <c r="C307" s="148" t="s">
        <v>761</v>
      </c>
      <c r="D307" s="150">
        <v>111.82</v>
      </c>
      <c r="E307" s="151" t="s">
        <v>9</v>
      </c>
      <c r="F307" s="152">
        <v>1</v>
      </c>
      <c r="G307" s="152">
        <v>5</v>
      </c>
    </row>
    <row r="308" spans="1:7" ht="15.75" x14ac:dyDescent="0.3">
      <c r="A308" s="148" t="s">
        <v>69</v>
      </c>
      <c r="B308" s="149">
        <v>1121197</v>
      </c>
      <c r="C308" s="148" t="s">
        <v>762</v>
      </c>
      <c r="D308" s="150">
        <v>8.7200000000000006</v>
      </c>
      <c r="E308" s="151" t="s">
        <v>9</v>
      </c>
      <c r="F308" s="152">
        <v>1</v>
      </c>
      <c r="G308" s="152">
        <v>5</v>
      </c>
    </row>
    <row r="309" spans="1:7" ht="15.75" x14ac:dyDescent="0.3">
      <c r="A309" s="148" t="s">
        <v>69</v>
      </c>
      <c r="B309" s="149">
        <v>1121195</v>
      </c>
      <c r="C309" s="148" t="s">
        <v>763</v>
      </c>
      <c r="D309" s="150">
        <v>8.7200000000000006</v>
      </c>
      <c r="E309" s="151" t="s">
        <v>9</v>
      </c>
      <c r="F309" s="152">
        <v>1</v>
      </c>
      <c r="G309" s="152">
        <v>5</v>
      </c>
    </row>
    <row r="310" spans="1:7" ht="15.75" x14ac:dyDescent="0.3">
      <c r="A310" s="148" t="s">
        <v>69</v>
      </c>
      <c r="B310" s="149">
        <v>1057843</v>
      </c>
      <c r="C310" s="148" t="s">
        <v>764</v>
      </c>
      <c r="D310" s="150">
        <v>8.8800000000000008</v>
      </c>
      <c r="E310" s="151" t="s">
        <v>9</v>
      </c>
      <c r="F310" s="152">
        <v>1</v>
      </c>
      <c r="G310" s="152">
        <v>5</v>
      </c>
    </row>
    <row r="311" spans="1:7" ht="15.75" x14ac:dyDescent="0.3">
      <c r="A311" s="148" t="s">
        <v>69</v>
      </c>
      <c r="B311" s="149">
        <v>1057844</v>
      </c>
      <c r="C311" s="148" t="s">
        <v>765</v>
      </c>
      <c r="D311" s="150">
        <v>46.57</v>
      </c>
      <c r="E311" s="151" t="s">
        <v>9</v>
      </c>
      <c r="F311" s="152">
        <v>1</v>
      </c>
      <c r="G311" s="152">
        <v>10</v>
      </c>
    </row>
    <row r="312" spans="1:7" ht="15.75" x14ac:dyDescent="0.3">
      <c r="A312" s="148" t="s">
        <v>143</v>
      </c>
      <c r="B312" s="149">
        <v>1090682</v>
      </c>
      <c r="C312" s="148" t="s">
        <v>766</v>
      </c>
      <c r="D312" s="150">
        <v>19.41</v>
      </c>
      <c r="E312" s="151" t="s">
        <v>9</v>
      </c>
      <c r="F312" s="152">
        <v>1</v>
      </c>
      <c r="G312" s="152">
        <v>10</v>
      </c>
    </row>
    <row r="313" spans="1:7" ht="15.75" x14ac:dyDescent="0.3">
      <c r="A313" s="148" t="s">
        <v>143</v>
      </c>
      <c r="B313" s="149">
        <v>1090683</v>
      </c>
      <c r="C313" s="148" t="s">
        <v>767</v>
      </c>
      <c r="D313" s="150">
        <v>25.62</v>
      </c>
      <c r="E313" s="151" t="s">
        <v>9</v>
      </c>
      <c r="F313" s="152">
        <v>1</v>
      </c>
      <c r="G313" s="152">
        <v>5</v>
      </c>
    </row>
    <row r="314" spans="1:7" ht="15.75" x14ac:dyDescent="0.3">
      <c r="A314" s="148" t="s">
        <v>143</v>
      </c>
      <c r="B314" s="149">
        <v>1090684</v>
      </c>
      <c r="C314" s="148" t="s">
        <v>768</v>
      </c>
      <c r="D314" s="150">
        <v>28.18</v>
      </c>
      <c r="E314" s="151" t="s">
        <v>9</v>
      </c>
      <c r="F314" s="152">
        <v>1</v>
      </c>
      <c r="G314" s="152">
        <v>5</v>
      </c>
    </row>
    <row r="315" spans="1:7" ht="15.75" x14ac:dyDescent="0.3">
      <c r="A315" s="148" t="s">
        <v>143</v>
      </c>
      <c r="B315" s="149">
        <v>1090685</v>
      </c>
      <c r="C315" s="148" t="s">
        <v>769</v>
      </c>
      <c r="D315" s="150">
        <v>31</v>
      </c>
      <c r="E315" s="151" t="s">
        <v>9</v>
      </c>
      <c r="F315" s="152">
        <v>1</v>
      </c>
      <c r="G315" s="152">
        <v>5</v>
      </c>
    </row>
    <row r="316" spans="1:7" ht="15.75" x14ac:dyDescent="0.3">
      <c r="A316" s="148" t="s">
        <v>143</v>
      </c>
      <c r="B316" s="149">
        <v>1070705</v>
      </c>
      <c r="C316" s="148" t="s">
        <v>770</v>
      </c>
      <c r="D316" s="150">
        <v>11</v>
      </c>
      <c r="E316" s="151" t="s">
        <v>9</v>
      </c>
      <c r="F316" s="152">
        <v>20</v>
      </c>
      <c r="G316" s="152">
        <v>80</v>
      </c>
    </row>
    <row r="317" spans="1:7" ht="15.75" x14ac:dyDescent="0.3">
      <c r="A317" s="148" t="s">
        <v>143</v>
      </c>
      <c r="B317" s="149">
        <v>1070706</v>
      </c>
      <c r="C317" s="148" t="s">
        <v>771</v>
      </c>
      <c r="D317" s="150">
        <v>11</v>
      </c>
      <c r="E317" s="151" t="s">
        <v>9</v>
      </c>
      <c r="F317" s="152">
        <v>20</v>
      </c>
      <c r="G317" s="152">
        <v>80</v>
      </c>
    </row>
    <row r="318" spans="1:7" ht="15.75" x14ac:dyDescent="0.3">
      <c r="A318" s="148" t="s">
        <v>143</v>
      </c>
      <c r="B318" s="149">
        <v>1070615</v>
      </c>
      <c r="C318" s="148" t="s">
        <v>772</v>
      </c>
      <c r="D318" s="150">
        <v>11</v>
      </c>
      <c r="E318" s="151" t="s">
        <v>9</v>
      </c>
      <c r="F318" s="152">
        <v>20</v>
      </c>
      <c r="G318" s="152">
        <v>160</v>
      </c>
    </row>
    <row r="319" spans="1:7" ht="15.75" x14ac:dyDescent="0.3">
      <c r="A319" s="148" t="s">
        <v>143</v>
      </c>
      <c r="B319" s="149">
        <v>1070707</v>
      </c>
      <c r="C319" s="148" t="s">
        <v>773</v>
      </c>
      <c r="D319" s="150">
        <v>11.9</v>
      </c>
      <c r="E319" s="151" t="s">
        <v>9</v>
      </c>
      <c r="F319" s="152">
        <v>10</v>
      </c>
      <c r="G319" s="152">
        <v>3840</v>
      </c>
    </row>
    <row r="320" spans="1:7" ht="15.75" x14ac:dyDescent="0.3">
      <c r="A320" s="148" t="s">
        <v>143</v>
      </c>
      <c r="B320" s="149">
        <v>1070616</v>
      </c>
      <c r="C320" s="148" t="s">
        <v>774</v>
      </c>
      <c r="D320" s="150">
        <v>11.9</v>
      </c>
      <c r="E320" s="151" t="s">
        <v>9</v>
      </c>
      <c r="F320" s="152">
        <v>10</v>
      </c>
      <c r="G320" s="152">
        <v>40</v>
      </c>
    </row>
    <row r="321" spans="1:7" ht="15.75" x14ac:dyDescent="0.3">
      <c r="A321" s="148" t="s">
        <v>143</v>
      </c>
      <c r="B321" s="149">
        <v>1070617</v>
      </c>
      <c r="C321" s="148" t="s">
        <v>775</v>
      </c>
      <c r="D321" s="150">
        <v>11.9</v>
      </c>
      <c r="E321" s="151" t="s">
        <v>9</v>
      </c>
      <c r="F321" s="152">
        <v>15</v>
      </c>
      <c r="G321" s="152">
        <v>60</v>
      </c>
    </row>
    <row r="322" spans="1:7" ht="15.75" x14ac:dyDescent="0.3">
      <c r="A322" s="148" t="s">
        <v>143</v>
      </c>
      <c r="B322" s="149">
        <v>1070618</v>
      </c>
      <c r="C322" s="148" t="s">
        <v>776</v>
      </c>
      <c r="D322" s="150">
        <v>11.9</v>
      </c>
      <c r="E322" s="151" t="s">
        <v>9</v>
      </c>
      <c r="F322" s="152">
        <v>5</v>
      </c>
      <c r="G322" s="152">
        <v>20</v>
      </c>
    </row>
    <row r="323" spans="1:7" ht="15.75" x14ac:dyDescent="0.3">
      <c r="A323" s="148" t="s">
        <v>143</v>
      </c>
      <c r="B323" s="149">
        <v>1070619</v>
      </c>
      <c r="C323" s="148" t="s">
        <v>777</v>
      </c>
      <c r="D323" s="150">
        <v>22.56</v>
      </c>
      <c r="E323" s="151" t="s">
        <v>9</v>
      </c>
      <c r="F323" s="152">
        <v>5</v>
      </c>
      <c r="G323" s="152">
        <v>1920</v>
      </c>
    </row>
    <row r="324" spans="1:7" ht="15.75" x14ac:dyDescent="0.3">
      <c r="A324" s="148" t="s">
        <v>143</v>
      </c>
      <c r="B324" s="149">
        <v>1070620</v>
      </c>
      <c r="C324" s="148" t="s">
        <v>778</v>
      </c>
      <c r="D324" s="150">
        <v>22.56</v>
      </c>
      <c r="E324" s="151" t="s">
        <v>9</v>
      </c>
      <c r="F324" s="152">
        <v>5</v>
      </c>
      <c r="G324" s="152">
        <v>20</v>
      </c>
    </row>
    <row r="325" spans="1:7" ht="15.75" x14ac:dyDescent="0.3">
      <c r="A325" s="148" t="s">
        <v>143</v>
      </c>
      <c r="B325" s="149">
        <v>1119311</v>
      </c>
      <c r="C325" s="148" t="s">
        <v>779</v>
      </c>
      <c r="D325" s="150">
        <v>85.56</v>
      </c>
      <c r="E325" s="151" t="s">
        <v>9</v>
      </c>
      <c r="F325" s="152">
        <v>1</v>
      </c>
      <c r="G325" s="152">
        <v>5</v>
      </c>
    </row>
    <row r="326" spans="1:7" ht="15.75" x14ac:dyDescent="0.3">
      <c r="A326" s="148" t="s">
        <v>143</v>
      </c>
      <c r="B326" s="149">
        <v>1119312</v>
      </c>
      <c r="C326" s="148" t="s">
        <v>780</v>
      </c>
      <c r="D326" s="150">
        <v>129.18</v>
      </c>
      <c r="E326" s="151" t="s">
        <v>9</v>
      </c>
      <c r="F326" s="152">
        <v>1</v>
      </c>
      <c r="G326" s="152">
        <v>5</v>
      </c>
    </row>
    <row r="327" spans="1:7" ht="15.75" x14ac:dyDescent="0.3">
      <c r="A327" s="148" t="s">
        <v>143</v>
      </c>
      <c r="B327" s="149">
        <v>1119313</v>
      </c>
      <c r="C327" s="148" t="s">
        <v>781</v>
      </c>
      <c r="D327" s="150">
        <v>191.78</v>
      </c>
      <c r="E327" s="151" t="s">
        <v>9</v>
      </c>
      <c r="F327" s="152">
        <v>1</v>
      </c>
      <c r="G327" s="152">
        <v>5</v>
      </c>
    </row>
    <row r="328" spans="1:7" ht="15.75" x14ac:dyDescent="0.3">
      <c r="A328" s="148" t="s">
        <v>143</v>
      </c>
      <c r="B328" s="149">
        <v>1119314</v>
      </c>
      <c r="C328" s="148" t="s">
        <v>782</v>
      </c>
      <c r="D328" s="150">
        <v>224.37</v>
      </c>
      <c r="E328" s="151" t="s">
        <v>9</v>
      </c>
      <c r="F328" s="152">
        <v>1</v>
      </c>
      <c r="G328" s="152">
        <v>5</v>
      </c>
    </row>
    <row r="329" spans="1:7" ht="15.75" x14ac:dyDescent="0.3">
      <c r="A329" s="148" t="s">
        <v>143</v>
      </c>
      <c r="B329" s="149">
        <v>1119315</v>
      </c>
      <c r="C329" s="148" t="s">
        <v>783</v>
      </c>
      <c r="D329" s="150">
        <v>104.39</v>
      </c>
      <c r="E329" s="151" t="s">
        <v>9</v>
      </c>
      <c r="F329" s="152">
        <v>1</v>
      </c>
      <c r="G329" s="152">
        <v>5</v>
      </c>
    </row>
    <row r="330" spans="1:7" ht="15.75" x14ac:dyDescent="0.3">
      <c r="A330" s="148" t="s">
        <v>143</v>
      </c>
      <c r="B330" s="149">
        <v>1119316</v>
      </c>
      <c r="C330" s="148" t="s">
        <v>784</v>
      </c>
      <c r="D330" s="150">
        <v>136.30000000000001</v>
      </c>
      <c r="E330" s="151" t="s">
        <v>9</v>
      </c>
      <c r="F330" s="152">
        <v>1</v>
      </c>
      <c r="G330" s="152">
        <v>5</v>
      </c>
    </row>
    <row r="331" spans="1:7" ht="15.75" x14ac:dyDescent="0.3">
      <c r="A331" s="148" t="s">
        <v>143</v>
      </c>
      <c r="B331" s="149">
        <v>1119317</v>
      </c>
      <c r="C331" s="148" t="s">
        <v>785</v>
      </c>
      <c r="D331" s="150">
        <v>209.36</v>
      </c>
      <c r="E331" s="151" t="s">
        <v>9</v>
      </c>
      <c r="F331" s="152">
        <v>1</v>
      </c>
      <c r="G331" s="152">
        <v>5</v>
      </c>
    </row>
    <row r="332" spans="1:7" ht="15.75" x14ac:dyDescent="0.3">
      <c r="A332" s="148" t="s">
        <v>143</v>
      </c>
      <c r="B332" s="149">
        <v>1119318</v>
      </c>
      <c r="C332" s="148" t="s">
        <v>786</v>
      </c>
      <c r="D332" s="150">
        <v>262.32</v>
      </c>
      <c r="E332" s="151" t="s">
        <v>9</v>
      </c>
      <c r="F332" s="152">
        <v>1</v>
      </c>
      <c r="G332" s="152">
        <v>5</v>
      </c>
    </row>
    <row r="333" spans="1:7" ht="15.75" x14ac:dyDescent="0.3">
      <c r="A333" s="148" t="s">
        <v>143</v>
      </c>
      <c r="B333" s="149">
        <v>1119321</v>
      </c>
      <c r="C333" s="148" t="s">
        <v>787</v>
      </c>
      <c r="D333" s="150">
        <v>73.400000000000006</v>
      </c>
      <c r="E333" s="151" t="s">
        <v>9</v>
      </c>
      <c r="F333" s="152">
        <v>1</v>
      </c>
      <c r="G333" s="152">
        <v>5</v>
      </c>
    </row>
    <row r="334" spans="1:7" ht="15.75" x14ac:dyDescent="0.3">
      <c r="A334" s="148" t="s">
        <v>143</v>
      </c>
      <c r="B334" s="149">
        <v>1119322</v>
      </c>
      <c r="C334" s="148" t="s">
        <v>788</v>
      </c>
      <c r="D334" s="150">
        <v>108.64</v>
      </c>
      <c r="E334" s="151" t="s">
        <v>9</v>
      </c>
      <c r="F334" s="152">
        <v>1</v>
      </c>
      <c r="G334" s="152">
        <v>5</v>
      </c>
    </row>
    <row r="335" spans="1:7" ht="15.75" x14ac:dyDescent="0.3">
      <c r="A335" s="148" t="s">
        <v>143</v>
      </c>
      <c r="B335" s="149">
        <v>1119323</v>
      </c>
      <c r="C335" s="148" t="s">
        <v>789</v>
      </c>
      <c r="D335" s="150">
        <v>116.07</v>
      </c>
      <c r="E335" s="151" t="s">
        <v>9</v>
      </c>
      <c r="F335" s="152">
        <v>1</v>
      </c>
      <c r="G335" s="152">
        <v>5</v>
      </c>
    </row>
    <row r="336" spans="1:7" ht="15.75" x14ac:dyDescent="0.3">
      <c r="A336" s="148" t="s">
        <v>143</v>
      </c>
      <c r="B336" s="149">
        <v>1070685</v>
      </c>
      <c r="C336" s="148" t="s">
        <v>790</v>
      </c>
      <c r="D336" s="150">
        <v>96.06</v>
      </c>
      <c r="E336" s="151" t="s">
        <v>9</v>
      </c>
      <c r="F336" s="152">
        <v>1</v>
      </c>
      <c r="G336" s="152">
        <v>192</v>
      </c>
    </row>
    <row r="337" spans="1:7" ht="15.75" x14ac:dyDescent="0.3">
      <c r="A337" s="148" t="s">
        <v>143</v>
      </c>
      <c r="B337" s="149">
        <v>1070686</v>
      </c>
      <c r="C337" s="148" t="s">
        <v>791</v>
      </c>
      <c r="D337" s="150">
        <v>97.33</v>
      </c>
      <c r="E337" s="151" t="s">
        <v>9</v>
      </c>
      <c r="F337" s="152">
        <v>1</v>
      </c>
      <c r="G337" s="152">
        <v>192</v>
      </c>
    </row>
    <row r="338" spans="1:7" ht="15.75" x14ac:dyDescent="0.3">
      <c r="A338" s="148" t="s">
        <v>143</v>
      </c>
      <c r="B338" s="149">
        <v>1070687</v>
      </c>
      <c r="C338" s="148" t="s">
        <v>792</v>
      </c>
      <c r="D338" s="150">
        <v>98.82</v>
      </c>
      <c r="E338" s="151" t="s">
        <v>9</v>
      </c>
      <c r="F338" s="152">
        <v>1</v>
      </c>
      <c r="G338" s="152">
        <v>192</v>
      </c>
    </row>
    <row r="339" spans="1:7" ht="15.75" x14ac:dyDescent="0.3">
      <c r="A339" s="148" t="s">
        <v>143</v>
      </c>
      <c r="B339" s="149">
        <v>1070688</v>
      </c>
      <c r="C339" s="148" t="s">
        <v>793</v>
      </c>
      <c r="D339" s="150">
        <v>105</v>
      </c>
      <c r="E339" s="151" t="s">
        <v>9</v>
      </c>
      <c r="F339" s="152">
        <v>1</v>
      </c>
      <c r="G339" s="152">
        <v>192</v>
      </c>
    </row>
    <row r="340" spans="1:7" ht="15.75" x14ac:dyDescent="0.3">
      <c r="A340" s="148" t="s">
        <v>143</v>
      </c>
      <c r="B340" s="149">
        <v>1070689</v>
      </c>
      <c r="C340" s="148" t="s">
        <v>794</v>
      </c>
      <c r="D340" s="150">
        <v>79.36</v>
      </c>
      <c r="E340" s="151" t="s">
        <v>9</v>
      </c>
      <c r="F340" s="152">
        <v>1</v>
      </c>
      <c r="G340" s="152">
        <v>192</v>
      </c>
    </row>
    <row r="341" spans="1:7" ht="15.75" x14ac:dyDescent="0.3">
      <c r="A341" s="148" t="s">
        <v>143</v>
      </c>
      <c r="B341" s="149">
        <v>1070690</v>
      </c>
      <c r="C341" s="148" t="s">
        <v>795</v>
      </c>
      <c r="D341" s="150">
        <v>79.36</v>
      </c>
      <c r="E341" s="151" t="s">
        <v>9</v>
      </c>
      <c r="F341" s="152">
        <v>1</v>
      </c>
      <c r="G341" s="152">
        <v>192</v>
      </c>
    </row>
    <row r="342" spans="1:7" ht="15.75" x14ac:dyDescent="0.3">
      <c r="A342" s="148" t="s">
        <v>143</v>
      </c>
      <c r="B342" s="149">
        <v>1070691</v>
      </c>
      <c r="C342" s="148" t="s">
        <v>796</v>
      </c>
      <c r="D342" s="150">
        <v>79.36</v>
      </c>
      <c r="E342" s="151" t="s">
        <v>9</v>
      </c>
      <c r="F342" s="152">
        <v>1</v>
      </c>
      <c r="G342" s="152">
        <v>192</v>
      </c>
    </row>
    <row r="343" spans="1:7" ht="15.75" x14ac:dyDescent="0.3">
      <c r="A343" s="148" t="s">
        <v>143</v>
      </c>
      <c r="B343" s="149">
        <v>1070692</v>
      </c>
      <c r="C343" s="148" t="s">
        <v>797</v>
      </c>
      <c r="D343" s="150">
        <v>83.32</v>
      </c>
      <c r="E343" s="151" t="s">
        <v>9</v>
      </c>
      <c r="F343" s="152">
        <v>1</v>
      </c>
      <c r="G343" s="152">
        <v>192</v>
      </c>
    </row>
    <row r="344" spans="1:7" ht="15.75" x14ac:dyDescent="0.3">
      <c r="A344" s="148" t="s">
        <v>143</v>
      </c>
      <c r="B344" s="149">
        <v>1070677</v>
      </c>
      <c r="C344" s="148" t="s">
        <v>798</v>
      </c>
      <c r="D344" s="150">
        <v>16.93</v>
      </c>
      <c r="E344" s="151" t="s">
        <v>9</v>
      </c>
      <c r="F344" s="152">
        <v>20</v>
      </c>
      <c r="G344" s="152">
        <v>1680</v>
      </c>
    </row>
    <row r="345" spans="1:7" ht="15.75" x14ac:dyDescent="0.3">
      <c r="A345" s="148" t="s">
        <v>143</v>
      </c>
      <c r="B345" s="149">
        <v>1070678</v>
      </c>
      <c r="C345" s="148" t="s">
        <v>799</v>
      </c>
      <c r="D345" s="150">
        <v>19.29</v>
      </c>
      <c r="E345" s="151" t="s">
        <v>9</v>
      </c>
      <c r="F345" s="152">
        <v>20</v>
      </c>
      <c r="G345" s="152">
        <v>1680</v>
      </c>
    </row>
    <row r="346" spans="1:7" ht="15.75" x14ac:dyDescent="0.3">
      <c r="A346" s="148" t="s">
        <v>143</v>
      </c>
      <c r="B346" s="149">
        <v>1070679</v>
      </c>
      <c r="C346" s="148" t="s">
        <v>800</v>
      </c>
      <c r="D346" s="150">
        <v>42.05</v>
      </c>
      <c r="E346" s="151" t="s">
        <v>9</v>
      </c>
      <c r="F346" s="152">
        <v>20</v>
      </c>
      <c r="G346" s="152">
        <v>400</v>
      </c>
    </row>
    <row r="347" spans="1:7" ht="15.75" x14ac:dyDescent="0.3">
      <c r="A347" s="148" t="s">
        <v>143</v>
      </c>
      <c r="B347" s="149">
        <v>1070680</v>
      </c>
      <c r="C347" s="148" t="s">
        <v>801</v>
      </c>
      <c r="D347" s="150">
        <v>25.27</v>
      </c>
      <c r="E347" s="151" t="s">
        <v>9</v>
      </c>
      <c r="F347" s="152">
        <v>20</v>
      </c>
      <c r="G347" s="152">
        <v>640</v>
      </c>
    </row>
    <row r="348" spans="1:7" ht="15.75" x14ac:dyDescent="0.3">
      <c r="A348" s="148" t="s">
        <v>143</v>
      </c>
      <c r="B348" s="149">
        <v>1070681</v>
      </c>
      <c r="C348" s="148" t="s">
        <v>802</v>
      </c>
      <c r="D348" s="150">
        <v>25.04</v>
      </c>
      <c r="E348" s="151" t="s">
        <v>9</v>
      </c>
      <c r="F348" s="152">
        <v>20</v>
      </c>
      <c r="G348" s="152">
        <v>600</v>
      </c>
    </row>
    <row r="349" spans="1:7" ht="15.75" x14ac:dyDescent="0.3">
      <c r="A349" s="148" t="s">
        <v>143</v>
      </c>
      <c r="B349" s="149">
        <v>1070682</v>
      </c>
      <c r="C349" s="148" t="s">
        <v>803</v>
      </c>
      <c r="D349" s="150">
        <v>43.18</v>
      </c>
      <c r="E349" s="151" t="s">
        <v>9</v>
      </c>
      <c r="F349" s="152">
        <v>20</v>
      </c>
      <c r="G349" s="152">
        <v>600</v>
      </c>
    </row>
    <row r="350" spans="1:7" ht="15.75" x14ac:dyDescent="0.3">
      <c r="A350" s="148" t="s">
        <v>143</v>
      </c>
      <c r="B350" s="149">
        <v>1070693</v>
      </c>
      <c r="C350" s="148" t="s">
        <v>804</v>
      </c>
      <c r="D350" s="150">
        <v>93.51</v>
      </c>
      <c r="E350" s="151" t="s">
        <v>9</v>
      </c>
      <c r="F350" s="152">
        <v>1</v>
      </c>
      <c r="G350" s="152">
        <v>192</v>
      </c>
    </row>
    <row r="351" spans="1:7" ht="15.75" x14ac:dyDescent="0.3">
      <c r="A351" s="148" t="s">
        <v>143</v>
      </c>
      <c r="B351" s="149">
        <v>1070694</v>
      </c>
      <c r="C351" s="148" t="s">
        <v>805</v>
      </c>
      <c r="D351" s="150">
        <v>95.12</v>
      </c>
      <c r="E351" s="151" t="s">
        <v>9</v>
      </c>
      <c r="F351" s="152">
        <v>1</v>
      </c>
      <c r="G351" s="152">
        <v>192</v>
      </c>
    </row>
    <row r="352" spans="1:7" ht="15.75" x14ac:dyDescent="0.3">
      <c r="A352" s="148" t="s">
        <v>143</v>
      </c>
      <c r="B352" s="149">
        <v>1070695</v>
      </c>
      <c r="C352" s="148" t="s">
        <v>806</v>
      </c>
      <c r="D352" s="150">
        <v>86.96</v>
      </c>
      <c r="E352" s="151" t="s">
        <v>9</v>
      </c>
      <c r="F352" s="152">
        <v>1</v>
      </c>
      <c r="G352" s="152">
        <v>192</v>
      </c>
    </row>
    <row r="353" spans="1:7" ht="15.75" x14ac:dyDescent="0.3">
      <c r="A353" s="148" t="s">
        <v>143</v>
      </c>
      <c r="B353" s="149">
        <v>1070696</v>
      </c>
      <c r="C353" s="148" t="s">
        <v>807</v>
      </c>
      <c r="D353" s="150">
        <v>95.12</v>
      </c>
      <c r="E353" s="151" t="s">
        <v>9</v>
      </c>
      <c r="F353" s="152">
        <v>1</v>
      </c>
      <c r="G353" s="152">
        <v>192</v>
      </c>
    </row>
    <row r="354" spans="1:7" ht="15.75" x14ac:dyDescent="0.3">
      <c r="A354" s="148" t="s">
        <v>143</v>
      </c>
      <c r="B354" s="149">
        <v>1094219</v>
      </c>
      <c r="C354" s="148" t="s">
        <v>808</v>
      </c>
      <c r="D354" s="150">
        <v>110.69</v>
      </c>
      <c r="E354" s="151" t="s">
        <v>9</v>
      </c>
      <c r="F354" s="152">
        <v>1</v>
      </c>
      <c r="G354" s="152">
        <v>192</v>
      </c>
    </row>
    <row r="355" spans="1:7" ht="15.75" x14ac:dyDescent="0.3">
      <c r="A355" s="148" t="s">
        <v>143</v>
      </c>
      <c r="B355" s="149">
        <v>1070697</v>
      </c>
      <c r="C355" s="148" t="s">
        <v>809</v>
      </c>
      <c r="D355" s="150">
        <v>123.55</v>
      </c>
      <c r="E355" s="151" t="s">
        <v>9</v>
      </c>
      <c r="F355" s="152">
        <v>1</v>
      </c>
      <c r="G355" s="152">
        <v>192</v>
      </c>
    </row>
    <row r="356" spans="1:7" ht="15.75" x14ac:dyDescent="0.3">
      <c r="A356" s="148" t="s">
        <v>143</v>
      </c>
      <c r="B356" s="149">
        <v>1070683</v>
      </c>
      <c r="C356" s="148" t="s">
        <v>810</v>
      </c>
      <c r="D356" s="150">
        <v>20.95</v>
      </c>
      <c r="E356" s="151" t="s">
        <v>9</v>
      </c>
      <c r="F356" s="152">
        <v>5</v>
      </c>
      <c r="G356" s="152">
        <v>720</v>
      </c>
    </row>
    <row r="357" spans="1:7" ht="15.75" x14ac:dyDescent="0.3">
      <c r="A357" s="148" t="s">
        <v>143</v>
      </c>
      <c r="B357" s="149">
        <v>1070684</v>
      </c>
      <c r="C357" s="148" t="s">
        <v>811</v>
      </c>
      <c r="D357" s="150">
        <v>21.15</v>
      </c>
      <c r="E357" s="151" t="s">
        <v>9</v>
      </c>
      <c r="F357" s="152">
        <v>5</v>
      </c>
      <c r="G357" s="152">
        <v>960</v>
      </c>
    </row>
    <row r="358" spans="1:7" ht="15.75" x14ac:dyDescent="0.3">
      <c r="A358" s="148" t="s">
        <v>319</v>
      </c>
      <c r="B358" s="149">
        <v>1013830</v>
      </c>
      <c r="C358" s="148" t="s">
        <v>812</v>
      </c>
      <c r="D358" s="150">
        <v>5.93</v>
      </c>
      <c r="E358" s="151" t="s">
        <v>9</v>
      </c>
      <c r="F358" s="152">
        <v>10</v>
      </c>
      <c r="G358" s="152">
        <v>80</v>
      </c>
    </row>
    <row r="359" spans="1:7" ht="15.75" x14ac:dyDescent="0.3">
      <c r="A359" s="148" t="s">
        <v>319</v>
      </c>
      <c r="B359" s="149">
        <v>1013906</v>
      </c>
      <c r="C359" s="148" t="s">
        <v>813</v>
      </c>
      <c r="D359" s="150">
        <v>4.29</v>
      </c>
      <c r="E359" s="151" t="s">
        <v>9</v>
      </c>
      <c r="F359" s="152">
        <v>10</v>
      </c>
      <c r="G359" s="152">
        <v>80</v>
      </c>
    </row>
    <row r="360" spans="1:7" ht="15.75" x14ac:dyDescent="0.3">
      <c r="A360" s="148" t="s">
        <v>143</v>
      </c>
      <c r="B360" s="149">
        <v>1013970</v>
      </c>
      <c r="C360" s="148" t="s">
        <v>814</v>
      </c>
      <c r="D360" s="150">
        <v>12.63</v>
      </c>
      <c r="E360" s="151" t="s">
        <v>9</v>
      </c>
      <c r="F360" s="152">
        <v>1</v>
      </c>
      <c r="G360" s="152">
        <v>20</v>
      </c>
    </row>
    <row r="361" spans="1:7" ht="15.75" x14ac:dyDescent="0.3">
      <c r="A361" s="148" t="s">
        <v>143</v>
      </c>
      <c r="B361" s="149">
        <v>1013978</v>
      </c>
      <c r="C361" s="148" t="s">
        <v>815</v>
      </c>
      <c r="D361" s="150">
        <v>9.92</v>
      </c>
      <c r="E361" s="151" t="s">
        <v>9</v>
      </c>
      <c r="F361" s="152">
        <v>1</v>
      </c>
      <c r="G361" s="152">
        <v>20</v>
      </c>
    </row>
    <row r="362" spans="1:7" ht="15.75" x14ac:dyDescent="0.3">
      <c r="A362" s="148" t="s">
        <v>143</v>
      </c>
      <c r="B362" s="149">
        <v>1011370</v>
      </c>
      <c r="C362" s="148" t="s">
        <v>816</v>
      </c>
      <c r="D362" s="150">
        <v>0.12</v>
      </c>
      <c r="E362" s="151" t="s">
        <v>9</v>
      </c>
      <c r="F362" s="152">
        <v>50</v>
      </c>
      <c r="G362" s="152">
        <v>1350</v>
      </c>
    </row>
    <row r="363" spans="1:7" ht="15.75" x14ac:dyDescent="0.3">
      <c r="A363" s="148" t="s">
        <v>143</v>
      </c>
      <c r="B363" s="149">
        <v>1011372</v>
      </c>
      <c r="C363" s="148" t="s">
        <v>817</v>
      </c>
      <c r="D363" s="150">
        <v>0.13</v>
      </c>
      <c r="E363" s="151" t="s">
        <v>9</v>
      </c>
      <c r="F363" s="152">
        <v>50</v>
      </c>
      <c r="G363" s="152">
        <v>1350</v>
      </c>
    </row>
    <row r="364" spans="1:7" ht="15.75" x14ac:dyDescent="0.3">
      <c r="A364" s="148" t="s">
        <v>143</v>
      </c>
      <c r="B364" s="149">
        <v>1011373</v>
      </c>
      <c r="C364" s="148" t="s">
        <v>818</v>
      </c>
      <c r="D364" s="150">
        <v>0.69</v>
      </c>
      <c r="E364" s="151" t="s">
        <v>9</v>
      </c>
      <c r="F364" s="152">
        <v>50</v>
      </c>
      <c r="G364" s="152">
        <v>500</v>
      </c>
    </row>
    <row r="365" spans="1:7" ht="15.75" x14ac:dyDescent="0.3">
      <c r="A365" s="148" t="s">
        <v>144</v>
      </c>
      <c r="B365" s="149">
        <v>1029144</v>
      </c>
      <c r="C365" s="148" t="s">
        <v>819</v>
      </c>
      <c r="D365" s="150">
        <v>53.25</v>
      </c>
      <c r="E365" s="151" t="s">
        <v>9</v>
      </c>
      <c r="F365" s="152">
        <v>1</v>
      </c>
      <c r="G365" s="152">
        <v>480</v>
      </c>
    </row>
    <row r="366" spans="1:7" ht="15.75" x14ac:dyDescent="0.3">
      <c r="A366" s="148" t="s">
        <v>144</v>
      </c>
      <c r="B366" s="149">
        <v>1029145</v>
      </c>
      <c r="C366" s="148" t="s">
        <v>820</v>
      </c>
      <c r="D366" s="150">
        <v>105.78</v>
      </c>
      <c r="E366" s="151" t="s">
        <v>9</v>
      </c>
      <c r="F366" s="152">
        <v>1</v>
      </c>
      <c r="G366" s="152">
        <v>480</v>
      </c>
    </row>
    <row r="367" spans="1:7" ht="15.75" x14ac:dyDescent="0.3">
      <c r="A367" s="148" t="s">
        <v>144</v>
      </c>
      <c r="B367" s="149">
        <v>1029138</v>
      </c>
      <c r="C367" s="148" t="s">
        <v>821</v>
      </c>
      <c r="D367" s="150">
        <v>70.540000000000006</v>
      </c>
      <c r="E367" s="151" t="s">
        <v>9</v>
      </c>
      <c r="F367" s="152">
        <v>1</v>
      </c>
      <c r="G367" s="152">
        <v>336</v>
      </c>
    </row>
    <row r="368" spans="1:7" ht="15.75" x14ac:dyDescent="0.3">
      <c r="A368" s="148" t="s">
        <v>144</v>
      </c>
      <c r="B368" s="149">
        <v>1029139</v>
      </c>
      <c r="C368" s="148" t="s">
        <v>822</v>
      </c>
      <c r="D368" s="150">
        <v>181.85</v>
      </c>
      <c r="E368" s="151" t="s">
        <v>9</v>
      </c>
      <c r="F368" s="152">
        <v>1</v>
      </c>
      <c r="G368" s="152">
        <v>240</v>
      </c>
    </row>
    <row r="369" spans="1:7" ht="15.75" x14ac:dyDescent="0.3">
      <c r="A369" s="148" t="s">
        <v>144</v>
      </c>
      <c r="B369" s="149">
        <v>1029140</v>
      </c>
      <c r="C369" s="148" t="s">
        <v>823</v>
      </c>
      <c r="D369" s="150">
        <v>90.65</v>
      </c>
      <c r="E369" s="151" t="s">
        <v>9</v>
      </c>
      <c r="F369" s="152">
        <v>1</v>
      </c>
      <c r="G369" s="152">
        <v>336</v>
      </c>
    </row>
    <row r="370" spans="1:7" ht="15.75" x14ac:dyDescent="0.3">
      <c r="A370" s="148" t="s">
        <v>144</v>
      </c>
      <c r="B370" s="149">
        <v>1029141</v>
      </c>
      <c r="C370" s="148" t="s">
        <v>824</v>
      </c>
      <c r="D370" s="150">
        <v>217.11</v>
      </c>
      <c r="E370" s="151" t="s">
        <v>9</v>
      </c>
      <c r="F370" s="152">
        <v>1</v>
      </c>
      <c r="G370" s="152">
        <v>175</v>
      </c>
    </row>
    <row r="371" spans="1:7" ht="15.75" x14ac:dyDescent="0.3">
      <c r="A371" s="148" t="s">
        <v>144</v>
      </c>
      <c r="B371" s="149">
        <v>1029142</v>
      </c>
      <c r="C371" s="148" t="s">
        <v>825</v>
      </c>
      <c r="D371" s="150">
        <v>85.61</v>
      </c>
      <c r="E371" s="151" t="s">
        <v>9</v>
      </c>
      <c r="F371" s="152">
        <v>1</v>
      </c>
      <c r="G371" s="152">
        <v>336</v>
      </c>
    </row>
    <row r="372" spans="1:7" ht="15.75" x14ac:dyDescent="0.3">
      <c r="A372" s="148" t="s">
        <v>144</v>
      </c>
      <c r="B372" s="149">
        <v>1029143</v>
      </c>
      <c r="C372" s="148" t="s">
        <v>826</v>
      </c>
      <c r="D372" s="150">
        <v>206.49</v>
      </c>
      <c r="E372" s="151" t="s">
        <v>9</v>
      </c>
      <c r="F372" s="152">
        <v>1</v>
      </c>
      <c r="G372" s="152">
        <v>175</v>
      </c>
    </row>
    <row r="373" spans="1:7" ht="15.75" x14ac:dyDescent="0.3">
      <c r="A373" s="148" t="s">
        <v>144</v>
      </c>
      <c r="B373" s="149">
        <v>1029146</v>
      </c>
      <c r="C373" s="148" t="s">
        <v>827</v>
      </c>
      <c r="D373" s="150">
        <v>90.94</v>
      </c>
      <c r="E373" s="151" t="s">
        <v>9</v>
      </c>
      <c r="F373" s="152">
        <v>1</v>
      </c>
      <c r="G373" s="152">
        <v>480</v>
      </c>
    </row>
    <row r="374" spans="1:7" ht="15.75" x14ac:dyDescent="0.3">
      <c r="A374" s="148" t="s">
        <v>144</v>
      </c>
      <c r="B374" s="149">
        <v>1046750</v>
      </c>
      <c r="C374" s="148" t="s">
        <v>828</v>
      </c>
      <c r="D374" s="150">
        <v>89.18</v>
      </c>
      <c r="E374" s="151" t="s">
        <v>9</v>
      </c>
      <c r="F374" s="152">
        <v>1</v>
      </c>
      <c r="G374" s="152">
        <v>480</v>
      </c>
    </row>
    <row r="375" spans="1:7" ht="15.75" x14ac:dyDescent="0.3">
      <c r="A375" s="148" t="s">
        <v>144</v>
      </c>
      <c r="B375" s="149">
        <v>1046751</v>
      </c>
      <c r="C375" s="148" t="s">
        <v>829</v>
      </c>
      <c r="D375" s="150">
        <v>118.39</v>
      </c>
      <c r="E375" s="151" t="s">
        <v>9</v>
      </c>
      <c r="F375" s="152">
        <v>1</v>
      </c>
      <c r="G375" s="152">
        <v>240</v>
      </c>
    </row>
    <row r="376" spans="1:7" ht="15.75" x14ac:dyDescent="0.3">
      <c r="A376" s="148" t="s">
        <v>144</v>
      </c>
      <c r="B376" s="149">
        <v>1046477</v>
      </c>
      <c r="C376" s="148" t="s">
        <v>830</v>
      </c>
      <c r="D376" s="150">
        <v>151.88999999999999</v>
      </c>
      <c r="E376" s="151" t="s">
        <v>9</v>
      </c>
      <c r="F376" s="152">
        <v>1</v>
      </c>
      <c r="G376" s="152">
        <v>240</v>
      </c>
    </row>
    <row r="377" spans="1:7" ht="15.75" x14ac:dyDescent="0.3">
      <c r="A377" s="148" t="s">
        <v>144</v>
      </c>
      <c r="B377" s="149">
        <v>1046478</v>
      </c>
      <c r="C377" s="148" t="s">
        <v>831</v>
      </c>
      <c r="D377" s="150">
        <v>242.82</v>
      </c>
      <c r="E377" s="151" t="s">
        <v>9</v>
      </c>
      <c r="F377" s="152">
        <v>1</v>
      </c>
      <c r="G377" s="152">
        <v>96</v>
      </c>
    </row>
    <row r="378" spans="1:7" ht="15.75" x14ac:dyDescent="0.3">
      <c r="A378" s="148" t="s">
        <v>144</v>
      </c>
      <c r="B378" s="149">
        <v>1059397</v>
      </c>
      <c r="C378" s="148" t="s">
        <v>145</v>
      </c>
      <c r="D378" s="150">
        <v>49.36</v>
      </c>
      <c r="E378" s="151" t="s">
        <v>9</v>
      </c>
      <c r="F378" s="152">
        <v>1</v>
      </c>
      <c r="G378" s="152">
        <v>480</v>
      </c>
    </row>
    <row r="379" spans="1:7" ht="15.75" x14ac:dyDescent="0.3">
      <c r="A379" s="148" t="s">
        <v>144</v>
      </c>
      <c r="B379" s="149">
        <v>1095818</v>
      </c>
      <c r="C379" s="148" t="s">
        <v>146</v>
      </c>
      <c r="D379" s="150">
        <v>53.69</v>
      </c>
      <c r="E379" s="151" t="s">
        <v>9</v>
      </c>
      <c r="F379" s="152">
        <v>1</v>
      </c>
      <c r="G379" s="152">
        <v>378</v>
      </c>
    </row>
    <row r="380" spans="1:7" ht="15.75" x14ac:dyDescent="0.3">
      <c r="A380" s="148" t="s">
        <v>144</v>
      </c>
      <c r="B380" s="149">
        <v>1095819</v>
      </c>
      <c r="C380" s="148" t="s">
        <v>147</v>
      </c>
      <c r="D380" s="150">
        <v>55.34</v>
      </c>
      <c r="E380" s="151" t="s">
        <v>9</v>
      </c>
      <c r="F380" s="152">
        <v>1</v>
      </c>
      <c r="G380" s="152">
        <v>378</v>
      </c>
    </row>
    <row r="381" spans="1:7" ht="15.75" x14ac:dyDescent="0.3">
      <c r="A381" s="148" t="s">
        <v>144</v>
      </c>
      <c r="B381" s="149">
        <v>1095820</v>
      </c>
      <c r="C381" s="148" t="s">
        <v>148</v>
      </c>
      <c r="D381" s="150">
        <v>58.42</v>
      </c>
      <c r="E381" s="151" t="s">
        <v>9</v>
      </c>
      <c r="F381" s="152">
        <v>1</v>
      </c>
      <c r="G381" s="152">
        <v>378</v>
      </c>
    </row>
    <row r="382" spans="1:7" ht="15.75" x14ac:dyDescent="0.3">
      <c r="A382" s="148" t="s">
        <v>144</v>
      </c>
      <c r="B382" s="149">
        <v>1046940</v>
      </c>
      <c r="C382" s="148" t="s">
        <v>149</v>
      </c>
      <c r="D382" s="150">
        <v>53.89</v>
      </c>
      <c r="E382" s="151" t="s">
        <v>9</v>
      </c>
      <c r="F382" s="152">
        <v>1</v>
      </c>
      <c r="G382" s="152">
        <v>480</v>
      </c>
    </row>
    <row r="383" spans="1:7" ht="15.75" x14ac:dyDescent="0.3">
      <c r="A383" s="148" t="s">
        <v>144</v>
      </c>
      <c r="B383" s="149">
        <v>1046941</v>
      </c>
      <c r="C383" s="148" t="s">
        <v>150</v>
      </c>
      <c r="D383" s="150">
        <v>55.88</v>
      </c>
      <c r="E383" s="151" t="s">
        <v>9</v>
      </c>
      <c r="F383" s="152">
        <v>1</v>
      </c>
      <c r="G383" s="152">
        <v>480</v>
      </c>
    </row>
    <row r="384" spans="1:7" ht="15.75" x14ac:dyDescent="0.3">
      <c r="A384" s="148" t="s">
        <v>144</v>
      </c>
      <c r="B384" s="149">
        <v>1029125</v>
      </c>
      <c r="C384" s="148" t="s">
        <v>151</v>
      </c>
      <c r="D384" s="150">
        <v>63.46</v>
      </c>
      <c r="E384" s="151" t="s">
        <v>9</v>
      </c>
      <c r="F384" s="152">
        <v>1</v>
      </c>
      <c r="G384" s="152">
        <v>400</v>
      </c>
    </row>
    <row r="385" spans="1:7" ht="15.75" x14ac:dyDescent="0.3">
      <c r="A385" s="148" t="s">
        <v>144</v>
      </c>
      <c r="B385" s="149">
        <v>1029126</v>
      </c>
      <c r="C385" s="148" t="s">
        <v>152</v>
      </c>
      <c r="D385" s="150">
        <v>94.67</v>
      </c>
      <c r="E385" s="151" t="s">
        <v>9</v>
      </c>
      <c r="F385" s="152">
        <v>1</v>
      </c>
      <c r="G385" s="152">
        <v>400</v>
      </c>
    </row>
    <row r="386" spans="1:7" ht="15.75" x14ac:dyDescent="0.3">
      <c r="A386" s="148" t="s">
        <v>144</v>
      </c>
      <c r="B386" s="149">
        <v>1029127</v>
      </c>
      <c r="C386" s="148" t="s">
        <v>153</v>
      </c>
      <c r="D386" s="150">
        <v>171.23</v>
      </c>
      <c r="E386" s="151" t="s">
        <v>9</v>
      </c>
      <c r="F386" s="152">
        <v>1</v>
      </c>
      <c r="G386" s="152">
        <v>240</v>
      </c>
    </row>
    <row r="387" spans="1:7" ht="15.75" x14ac:dyDescent="0.3">
      <c r="A387" s="148" t="s">
        <v>144</v>
      </c>
      <c r="B387" s="149">
        <v>1029128</v>
      </c>
      <c r="C387" s="148" t="s">
        <v>154</v>
      </c>
      <c r="D387" s="150">
        <v>191.38</v>
      </c>
      <c r="E387" s="151" t="s">
        <v>9</v>
      </c>
      <c r="F387" s="152">
        <v>1</v>
      </c>
      <c r="G387" s="152">
        <v>240</v>
      </c>
    </row>
    <row r="388" spans="1:7" ht="15.75" x14ac:dyDescent="0.3">
      <c r="A388" s="148" t="s">
        <v>144</v>
      </c>
      <c r="B388" s="149">
        <v>1059402</v>
      </c>
      <c r="C388" s="148" t="s">
        <v>832</v>
      </c>
      <c r="D388" s="150">
        <v>58</v>
      </c>
      <c r="E388" s="151" t="s">
        <v>9</v>
      </c>
      <c r="F388" s="152">
        <v>1</v>
      </c>
      <c r="G388" s="152">
        <v>480</v>
      </c>
    </row>
    <row r="389" spans="1:7" ht="15.75" x14ac:dyDescent="0.3">
      <c r="A389" s="148" t="s">
        <v>144</v>
      </c>
      <c r="B389" s="149">
        <v>1029131</v>
      </c>
      <c r="C389" s="148" t="s">
        <v>833</v>
      </c>
      <c r="D389" s="150">
        <v>58.94</v>
      </c>
      <c r="E389" s="151" t="s">
        <v>9</v>
      </c>
      <c r="F389" s="152">
        <v>1</v>
      </c>
      <c r="G389" s="152">
        <v>480</v>
      </c>
    </row>
    <row r="390" spans="1:7" ht="15.75" x14ac:dyDescent="0.3">
      <c r="A390" s="148" t="s">
        <v>144</v>
      </c>
      <c r="B390" s="149">
        <v>1029132</v>
      </c>
      <c r="C390" s="148" t="s">
        <v>834</v>
      </c>
      <c r="D390" s="150">
        <v>69.47</v>
      </c>
      <c r="E390" s="151" t="s">
        <v>9</v>
      </c>
      <c r="F390" s="152">
        <v>1</v>
      </c>
      <c r="G390" s="152">
        <v>480</v>
      </c>
    </row>
    <row r="391" spans="1:7" ht="15.75" x14ac:dyDescent="0.3">
      <c r="A391" s="148" t="s">
        <v>144</v>
      </c>
      <c r="B391" s="149">
        <v>1029133</v>
      </c>
      <c r="C391" s="148" t="s">
        <v>835</v>
      </c>
      <c r="D391" s="150">
        <v>108.57</v>
      </c>
      <c r="E391" s="151" t="s">
        <v>9</v>
      </c>
      <c r="F391" s="152">
        <v>1</v>
      </c>
      <c r="G391" s="152">
        <v>240</v>
      </c>
    </row>
    <row r="392" spans="1:7" ht="15.75" x14ac:dyDescent="0.3">
      <c r="A392" s="148" t="s">
        <v>144</v>
      </c>
      <c r="B392" s="149">
        <v>1059403</v>
      </c>
      <c r="C392" s="148" t="s">
        <v>836</v>
      </c>
      <c r="D392" s="150">
        <v>64.73</v>
      </c>
      <c r="E392" s="151" t="s">
        <v>9</v>
      </c>
      <c r="F392" s="152">
        <v>1</v>
      </c>
      <c r="G392" s="152">
        <v>480</v>
      </c>
    </row>
    <row r="393" spans="1:7" ht="15.75" x14ac:dyDescent="0.3">
      <c r="A393" s="148" t="s">
        <v>144</v>
      </c>
      <c r="B393" s="149">
        <v>1029134</v>
      </c>
      <c r="C393" s="148" t="s">
        <v>837</v>
      </c>
      <c r="D393" s="150">
        <v>64.73</v>
      </c>
      <c r="E393" s="151" t="s">
        <v>9</v>
      </c>
      <c r="F393" s="152">
        <v>1</v>
      </c>
      <c r="G393" s="152">
        <v>480</v>
      </c>
    </row>
    <row r="394" spans="1:7" ht="15.75" x14ac:dyDescent="0.3">
      <c r="A394" s="148" t="s">
        <v>144</v>
      </c>
      <c r="B394" s="149">
        <v>1029135</v>
      </c>
      <c r="C394" s="148" t="s">
        <v>838</v>
      </c>
      <c r="D394" s="150">
        <v>69.760000000000005</v>
      </c>
      <c r="E394" s="151" t="s">
        <v>9</v>
      </c>
      <c r="F394" s="152">
        <v>1</v>
      </c>
      <c r="G394" s="152">
        <v>480</v>
      </c>
    </row>
    <row r="395" spans="1:7" ht="15.75" x14ac:dyDescent="0.3">
      <c r="A395" s="148" t="s">
        <v>144</v>
      </c>
      <c r="B395" s="149">
        <v>1029136</v>
      </c>
      <c r="C395" s="148" t="s">
        <v>839</v>
      </c>
      <c r="D395" s="150">
        <v>87.88</v>
      </c>
      <c r="E395" s="151" t="s">
        <v>9</v>
      </c>
      <c r="F395" s="152">
        <v>1</v>
      </c>
      <c r="G395" s="152">
        <v>480</v>
      </c>
    </row>
    <row r="396" spans="1:7" ht="15.75" x14ac:dyDescent="0.3">
      <c r="A396" s="148" t="s">
        <v>144</v>
      </c>
      <c r="B396" s="149">
        <v>1059404</v>
      </c>
      <c r="C396" s="148" t="s">
        <v>840</v>
      </c>
      <c r="D396" s="150">
        <v>76.83</v>
      </c>
      <c r="E396" s="151" t="s">
        <v>9</v>
      </c>
      <c r="F396" s="152">
        <v>1</v>
      </c>
      <c r="G396" s="152">
        <v>336</v>
      </c>
    </row>
    <row r="397" spans="1:7" ht="15.75" x14ac:dyDescent="0.3">
      <c r="A397" s="148" t="s">
        <v>144</v>
      </c>
      <c r="B397" s="149">
        <v>1029137</v>
      </c>
      <c r="C397" s="148" t="s">
        <v>841</v>
      </c>
      <c r="D397" s="150">
        <v>106.04</v>
      </c>
      <c r="E397" s="151" t="s">
        <v>9</v>
      </c>
      <c r="F397" s="152">
        <v>1</v>
      </c>
      <c r="G397" s="152">
        <v>240</v>
      </c>
    </row>
    <row r="398" spans="1:7" ht="15.75" x14ac:dyDescent="0.3">
      <c r="A398" s="148" t="s">
        <v>144</v>
      </c>
      <c r="B398" s="149">
        <v>1059398</v>
      </c>
      <c r="C398" s="148" t="s">
        <v>842</v>
      </c>
      <c r="D398" s="150">
        <v>272.36</v>
      </c>
      <c r="E398" s="151" t="s">
        <v>9</v>
      </c>
      <c r="F398" s="152">
        <v>1</v>
      </c>
      <c r="G398" s="152">
        <v>144</v>
      </c>
    </row>
    <row r="399" spans="1:7" ht="15.75" x14ac:dyDescent="0.3">
      <c r="A399" s="148" t="s">
        <v>144</v>
      </c>
      <c r="B399" s="149">
        <v>1059399</v>
      </c>
      <c r="C399" s="148" t="s">
        <v>843</v>
      </c>
      <c r="D399" s="150">
        <v>352.41</v>
      </c>
      <c r="E399" s="151" t="s">
        <v>9</v>
      </c>
      <c r="F399" s="152">
        <v>1</v>
      </c>
      <c r="G399" s="152">
        <v>90</v>
      </c>
    </row>
    <row r="400" spans="1:7" ht="15.75" x14ac:dyDescent="0.3">
      <c r="A400" s="148" t="s">
        <v>144</v>
      </c>
      <c r="B400" s="149">
        <v>1059400</v>
      </c>
      <c r="C400" s="148" t="s">
        <v>844</v>
      </c>
      <c r="D400" s="150">
        <v>366.17</v>
      </c>
      <c r="E400" s="151" t="s">
        <v>9</v>
      </c>
      <c r="F400" s="152">
        <v>1</v>
      </c>
      <c r="G400" s="152">
        <v>90</v>
      </c>
    </row>
    <row r="401" spans="1:7" ht="15.75" x14ac:dyDescent="0.3">
      <c r="A401" s="148" t="s">
        <v>144</v>
      </c>
      <c r="B401" s="149">
        <v>1029129</v>
      </c>
      <c r="C401" s="148" t="s">
        <v>845</v>
      </c>
      <c r="D401" s="150">
        <v>372.68</v>
      </c>
      <c r="E401" s="151" t="s">
        <v>9</v>
      </c>
      <c r="F401" s="152">
        <v>1</v>
      </c>
      <c r="G401" s="152">
        <v>90</v>
      </c>
    </row>
    <row r="402" spans="1:7" ht="15.75" x14ac:dyDescent="0.3">
      <c r="A402" s="148" t="s">
        <v>144</v>
      </c>
      <c r="B402" s="149">
        <v>1059401</v>
      </c>
      <c r="C402" s="148" t="s">
        <v>846</v>
      </c>
      <c r="D402" s="150">
        <v>390.14</v>
      </c>
      <c r="E402" s="151" t="s">
        <v>9</v>
      </c>
      <c r="F402" s="152">
        <v>1</v>
      </c>
      <c r="G402" s="152">
        <v>90</v>
      </c>
    </row>
    <row r="403" spans="1:7" ht="15.75" x14ac:dyDescent="0.3">
      <c r="A403" s="148" t="s">
        <v>144</v>
      </c>
      <c r="B403" s="149">
        <v>1029130</v>
      </c>
      <c r="C403" s="148" t="s">
        <v>847</v>
      </c>
      <c r="D403" s="150">
        <v>397.88</v>
      </c>
      <c r="E403" s="151" t="s">
        <v>9</v>
      </c>
      <c r="F403" s="152">
        <v>1</v>
      </c>
      <c r="G403" s="152">
        <v>90</v>
      </c>
    </row>
    <row r="404" spans="1:7" ht="15.75" x14ac:dyDescent="0.3">
      <c r="A404" s="148" t="s">
        <v>144</v>
      </c>
      <c r="B404" s="149">
        <v>1042921</v>
      </c>
      <c r="C404" s="148" t="s">
        <v>848</v>
      </c>
      <c r="D404" s="150">
        <v>2.36</v>
      </c>
      <c r="E404" s="151" t="s">
        <v>9</v>
      </c>
      <c r="F404" s="152">
        <v>10</v>
      </c>
      <c r="G404" s="152">
        <v>5000</v>
      </c>
    </row>
    <row r="405" spans="1:7" ht="15.75" x14ac:dyDescent="0.3">
      <c r="A405" s="148" t="s">
        <v>144</v>
      </c>
      <c r="B405" s="149">
        <v>1042922</v>
      </c>
      <c r="C405" s="148" t="s">
        <v>849</v>
      </c>
      <c r="D405" s="150">
        <v>3.67</v>
      </c>
      <c r="E405" s="151" t="s">
        <v>9</v>
      </c>
      <c r="F405" s="152">
        <v>10</v>
      </c>
      <c r="G405" s="149"/>
    </row>
    <row r="406" spans="1:7" ht="15.75" x14ac:dyDescent="0.3">
      <c r="A406" s="148" t="s">
        <v>69</v>
      </c>
      <c r="B406" s="149">
        <v>1023161</v>
      </c>
      <c r="C406" s="148" t="s">
        <v>850</v>
      </c>
      <c r="D406" s="150">
        <v>11.88</v>
      </c>
      <c r="E406" s="151" t="s">
        <v>9</v>
      </c>
      <c r="F406" s="152">
        <v>10</v>
      </c>
      <c r="G406" s="152">
        <v>10</v>
      </c>
    </row>
    <row r="407" spans="1:7" ht="15.75" x14ac:dyDescent="0.3">
      <c r="A407" s="148" t="s">
        <v>69</v>
      </c>
      <c r="B407" s="149">
        <v>1023162</v>
      </c>
      <c r="C407" s="148" t="s">
        <v>851</v>
      </c>
      <c r="D407" s="150">
        <v>11.88</v>
      </c>
      <c r="E407" s="151" t="s">
        <v>9</v>
      </c>
      <c r="F407" s="152">
        <v>1</v>
      </c>
      <c r="G407" s="152">
        <v>10</v>
      </c>
    </row>
    <row r="408" spans="1:7" ht="15.75" x14ac:dyDescent="0.3">
      <c r="A408" s="148" t="s">
        <v>155</v>
      </c>
      <c r="B408" s="149">
        <v>1058090</v>
      </c>
      <c r="C408" s="148" t="s">
        <v>156</v>
      </c>
      <c r="D408" s="150">
        <v>5.81</v>
      </c>
      <c r="E408" s="151" t="s">
        <v>9</v>
      </c>
      <c r="F408" s="152">
        <v>1</v>
      </c>
      <c r="G408" s="152">
        <v>25</v>
      </c>
    </row>
    <row r="409" spans="1:7" ht="15.75" x14ac:dyDescent="0.3">
      <c r="A409" s="148" t="s">
        <v>155</v>
      </c>
      <c r="B409" s="149">
        <v>1058092</v>
      </c>
      <c r="C409" s="148" t="s">
        <v>157</v>
      </c>
      <c r="D409" s="150">
        <v>6.43</v>
      </c>
      <c r="E409" s="151" t="s">
        <v>9</v>
      </c>
      <c r="F409" s="152">
        <v>1</v>
      </c>
      <c r="G409" s="152">
        <v>25</v>
      </c>
    </row>
    <row r="410" spans="1:7" ht="15.75" x14ac:dyDescent="0.3">
      <c r="A410" s="148" t="s">
        <v>155</v>
      </c>
      <c r="B410" s="149">
        <v>1058093</v>
      </c>
      <c r="C410" s="148" t="s">
        <v>158</v>
      </c>
      <c r="D410" s="150">
        <v>22.53</v>
      </c>
      <c r="E410" s="151" t="s">
        <v>9</v>
      </c>
      <c r="F410" s="152">
        <v>1</v>
      </c>
      <c r="G410" s="152">
        <v>25</v>
      </c>
    </row>
    <row r="411" spans="1:7" ht="15.75" x14ac:dyDescent="0.3">
      <c r="A411" s="148" t="s">
        <v>155</v>
      </c>
      <c r="B411" s="149">
        <v>1048745</v>
      </c>
      <c r="C411" s="148" t="s">
        <v>852</v>
      </c>
      <c r="D411" s="150">
        <v>23.14</v>
      </c>
      <c r="E411" s="151" t="s">
        <v>68</v>
      </c>
      <c r="F411" s="152">
        <v>1</v>
      </c>
      <c r="G411" s="152">
        <v>10</v>
      </c>
    </row>
    <row r="412" spans="1:7" ht="15.75" x14ac:dyDescent="0.3">
      <c r="A412" s="148" t="s">
        <v>155</v>
      </c>
      <c r="B412" s="149">
        <v>1048746</v>
      </c>
      <c r="C412" s="148" t="s">
        <v>853</v>
      </c>
      <c r="D412" s="150">
        <v>23.61</v>
      </c>
      <c r="E412" s="151" t="s">
        <v>68</v>
      </c>
      <c r="F412" s="152">
        <v>1</v>
      </c>
      <c r="G412" s="152">
        <v>10</v>
      </c>
    </row>
    <row r="413" spans="1:7" ht="15.75" x14ac:dyDescent="0.3">
      <c r="A413" s="148" t="s">
        <v>155</v>
      </c>
      <c r="B413" s="149">
        <v>1048747</v>
      </c>
      <c r="C413" s="148" t="s">
        <v>854</v>
      </c>
      <c r="D413" s="150">
        <v>26.33</v>
      </c>
      <c r="E413" s="151" t="s">
        <v>68</v>
      </c>
      <c r="F413" s="152">
        <v>1</v>
      </c>
      <c r="G413" s="152">
        <v>10</v>
      </c>
    </row>
    <row r="414" spans="1:7" ht="15.75" x14ac:dyDescent="0.3">
      <c r="A414" s="148" t="s">
        <v>155</v>
      </c>
      <c r="B414" s="149">
        <v>1048748</v>
      </c>
      <c r="C414" s="148" t="s">
        <v>855</v>
      </c>
      <c r="D414" s="150">
        <v>26.2</v>
      </c>
      <c r="E414" s="151" t="s">
        <v>68</v>
      </c>
      <c r="F414" s="152">
        <v>1</v>
      </c>
      <c r="G414" s="152">
        <v>10</v>
      </c>
    </row>
    <row r="415" spans="1:7" ht="15.75" x14ac:dyDescent="0.3">
      <c r="A415" s="148" t="s">
        <v>155</v>
      </c>
      <c r="B415" s="149">
        <v>1058094</v>
      </c>
      <c r="C415" s="148" t="s">
        <v>159</v>
      </c>
      <c r="D415" s="150">
        <v>11.12</v>
      </c>
      <c r="E415" s="151" t="s">
        <v>9</v>
      </c>
      <c r="F415" s="152">
        <v>1</v>
      </c>
      <c r="G415" s="152">
        <v>25</v>
      </c>
    </row>
    <row r="416" spans="1:7" ht="15.75" x14ac:dyDescent="0.3">
      <c r="A416" s="148" t="s">
        <v>155</v>
      </c>
      <c r="B416" s="149">
        <v>1058095</v>
      </c>
      <c r="C416" s="148" t="s">
        <v>160</v>
      </c>
      <c r="D416" s="150">
        <v>11.12</v>
      </c>
      <c r="E416" s="151" t="s">
        <v>9</v>
      </c>
      <c r="F416" s="152">
        <v>1</v>
      </c>
      <c r="G416" s="152">
        <v>25</v>
      </c>
    </row>
    <row r="417" spans="1:7" ht="15.75" x14ac:dyDescent="0.3">
      <c r="A417" s="148" t="s">
        <v>155</v>
      </c>
      <c r="B417" s="149">
        <v>1014143</v>
      </c>
      <c r="C417" s="148" t="s">
        <v>856</v>
      </c>
      <c r="D417" s="150">
        <v>12.32</v>
      </c>
      <c r="E417" s="151" t="s">
        <v>9</v>
      </c>
      <c r="F417" s="152">
        <v>10</v>
      </c>
      <c r="G417" s="152">
        <v>80</v>
      </c>
    </row>
    <row r="418" spans="1:7" ht="15.75" x14ac:dyDescent="0.3">
      <c r="A418" s="148" t="s">
        <v>155</v>
      </c>
      <c r="B418" s="149">
        <v>1006641</v>
      </c>
      <c r="C418" s="148" t="s">
        <v>857</v>
      </c>
      <c r="D418" s="150">
        <v>4.3499999999999996</v>
      </c>
      <c r="E418" s="151" t="s">
        <v>9</v>
      </c>
      <c r="F418" s="152">
        <v>20</v>
      </c>
      <c r="G418" s="152">
        <v>80</v>
      </c>
    </row>
    <row r="419" spans="1:7" ht="15.75" x14ac:dyDescent="0.3">
      <c r="A419" s="148" t="s">
        <v>155</v>
      </c>
      <c r="B419" s="149">
        <v>1014145</v>
      </c>
      <c r="C419" s="148" t="s">
        <v>858</v>
      </c>
      <c r="D419" s="150">
        <v>14.72</v>
      </c>
      <c r="E419" s="151" t="s">
        <v>9</v>
      </c>
      <c r="F419" s="152">
        <v>10</v>
      </c>
      <c r="G419" s="152">
        <v>80</v>
      </c>
    </row>
    <row r="420" spans="1:7" ht="15.75" x14ac:dyDescent="0.3">
      <c r="A420" s="148" t="s">
        <v>155</v>
      </c>
      <c r="B420" s="149">
        <v>1014147</v>
      </c>
      <c r="C420" s="148" t="s">
        <v>859</v>
      </c>
      <c r="D420" s="150">
        <v>14.72</v>
      </c>
      <c r="E420" s="151" t="s">
        <v>9</v>
      </c>
      <c r="F420" s="152">
        <v>10</v>
      </c>
      <c r="G420" s="152">
        <v>40</v>
      </c>
    </row>
    <row r="421" spans="1:7" ht="15.75" x14ac:dyDescent="0.3">
      <c r="A421" s="148" t="s">
        <v>155</v>
      </c>
      <c r="B421" s="149">
        <v>1088873</v>
      </c>
      <c r="C421" s="148" t="s">
        <v>161</v>
      </c>
      <c r="D421" s="150">
        <v>125.14</v>
      </c>
      <c r="E421" s="151" t="s">
        <v>9</v>
      </c>
      <c r="F421" s="152">
        <v>1</v>
      </c>
      <c r="G421" s="152">
        <v>108</v>
      </c>
    </row>
    <row r="422" spans="1:7" ht="15.75" x14ac:dyDescent="0.3">
      <c r="A422" s="148" t="s">
        <v>155</v>
      </c>
      <c r="B422" s="149">
        <v>1088874</v>
      </c>
      <c r="C422" s="148" t="s">
        <v>162</v>
      </c>
      <c r="D422" s="150">
        <v>137.83000000000001</v>
      </c>
      <c r="E422" s="151" t="s">
        <v>9</v>
      </c>
      <c r="F422" s="152">
        <v>1</v>
      </c>
      <c r="G422" s="152">
        <v>108</v>
      </c>
    </row>
    <row r="423" spans="1:7" ht="15.75" x14ac:dyDescent="0.3">
      <c r="A423" s="148" t="s">
        <v>155</v>
      </c>
      <c r="B423" s="149">
        <v>1088875</v>
      </c>
      <c r="C423" s="148" t="s">
        <v>163</v>
      </c>
      <c r="D423" s="150">
        <v>151.81</v>
      </c>
      <c r="E423" s="151" t="s">
        <v>9</v>
      </c>
      <c r="F423" s="152">
        <v>1</v>
      </c>
      <c r="G423" s="152">
        <v>108</v>
      </c>
    </row>
    <row r="424" spans="1:7" ht="15.75" x14ac:dyDescent="0.3">
      <c r="A424" s="148" t="s">
        <v>155</v>
      </c>
      <c r="B424" s="149">
        <v>1088876</v>
      </c>
      <c r="C424" s="148" t="s">
        <v>164</v>
      </c>
      <c r="D424" s="150">
        <v>181.04</v>
      </c>
      <c r="E424" s="151" t="s">
        <v>9</v>
      </c>
      <c r="F424" s="152">
        <v>1</v>
      </c>
      <c r="G424" s="152">
        <v>108</v>
      </c>
    </row>
    <row r="425" spans="1:7" ht="15.75" x14ac:dyDescent="0.3">
      <c r="A425" s="148" t="s">
        <v>155</v>
      </c>
      <c r="B425" s="149">
        <v>1088877</v>
      </c>
      <c r="C425" s="148" t="s">
        <v>165</v>
      </c>
      <c r="D425" s="150">
        <v>200.07</v>
      </c>
      <c r="E425" s="151" t="s">
        <v>9</v>
      </c>
      <c r="F425" s="152">
        <v>1</v>
      </c>
      <c r="G425" s="152">
        <v>72</v>
      </c>
    </row>
    <row r="426" spans="1:7" ht="15.75" x14ac:dyDescent="0.3">
      <c r="A426" s="148" t="s">
        <v>155</v>
      </c>
      <c r="B426" s="149">
        <v>1088878</v>
      </c>
      <c r="C426" s="148" t="s">
        <v>166</v>
      </c>
      <c r="D426" s="150">
        <v>216.09</v>
      </c>
      <c r="E426" s="151" t="s">
        <v>9</v>
      </c>
      <c r="F426" s="152">
        <v>1</v>
      </c>
      <c r="G426" s="152">
        <v>72</v>
      </c>
    </row>
    <row r="427" spans="1:7" ht="15.75" x14ac:dyDescent="0.3">
      <c r="A427" s="148" t="s">
        <v>155</v>
      </c>
      <c r="B427" s="149">
        <v>1088879</v>
      </c>
      <c r="C427" s="148" t="s">
        <v>167</v>
      </c>
      <c r="D427" s="150">
        <v>234.26</v>
      </c>
      <c r="E427" s="151" t="s">
        <v>9</v>
      </c>
      <c r="F427" s="152">
        <v>1</v>
      </c>
      <c r="G427" s="152">
        <v>72</v>
      </c>
    </row>
    <row r="428" spans="1:7" ht="15.75" x14ac:dyDescent="0.3">
      <c r="A428" s="148" t="s">
        <v>155</v>
      </c>
      <c r="B428" s="149">
        <v>1088880</v>
      </c>
      <c r="C428" s="148" t="s">
        <v>168</v>
      </c>
      <c r="D428" s="150">
        <v>256.25</v>
      </c>
      <c r="E428" s="151" t="s">
        <v>9</v>
      </c>
      <c r="F428" s="152">
        <v>1</v>
      </c>
      <c r="G428" s="152">
        <v>72</v>
      </c>
    </row>
    <row r="429" spans="1:7" ht="15.75" x14ac:dyDescent="0.3">
      <c r="A429" s="148" t="s">
        <v>155</v>
      </c>
      <c r="B429" s="149">
        <v>1088881</v>
      </c>
      <c r="C429" s="148" t="s">
        <v>169</v>
      </c>
      <c r="D429" s="150">
        <v>278.62</v>
      </c>
      <c r="E429" s="151" t="s">
        <v>9</v>
      </c>
      <c r="F429" s="152">
        <v>1</v>
      </c>
      <c r="G429" s="152">
        <v>48</v>
      </c>
    </row>
    <row r="430" spans="1:7" ht="15.75" x14ac:dyDescent="0.3">
      <c r="A430" s="148" t="s">
        <v>155</v>
      </c>
      <c r="B430" s="149">
        <v>1088882</v>
      </c>
      <c r="C430" s="148" t="s">
        <v>170</v>
      </c>
      <c r="D430" s="150">
        <v>295.13</v>
      </c>
      <c r="E430" s="151" t="s">
        <v>9</v>
      </c>
      <c r="F430" s="152">
        <v>1</v>
      </c>
      <c r="G430" s="152">
        <v>48</v>
      </c>
    </row>
    <row r="431" spans="1:7" ht="15.75" x14ac:dyDescent="0.3">
      <c r="A431" s="148" t="s">
        <v>155</v>
      </c>
      <c r="B431" s="149">
        <v>1088883</v>
      </c>
      <c r="C431" s="148" t="s">
        <v>171</v>
      </c>
      <c r="D431" s="150">
        <v>315.58999999999997</v>
      </c>
      <c r="E431" s="151" t="s">
        <v>9</v>
      </c>
      <c r="F431" s="152">
        <v>1</v>
      </c>
      <c r="G431" s="152">
        <v>48</v>
      </c>
    </row>
    <row r="432" spans="1:7" ht="15.75" x14ac:dyDescent="0.3">
      <c r="A432" s="148" t="s">
        <v>172</v>
      </c>
      <c r="B432" s="149">
        <v>1014107</v>
      </c>
      <c r="C432" s="148" t="s">
        <v>173</v>
      </c>
      <c r="D432" s="150">
        <v>28.89</v>
      </c>
      <c r="E432" s="151" t="s">
        <v>9</v>
      </c>
      <c r="F432" s="152">
        <v>1</v>
      </c>
      <c r="G432" s="152">
        <v>1218</v>
      </c>
    </row>
    <row r="433" spans="1:7" ht="15.75" x14ac:dyDescent="0.3">
      <c r="A433" s="148" t="s">
        <v>172</v>
      </c>
      <c r="B433" s="149">
        <v>1014111</v>
      </c>
      <c r="C433" s="148" t="s">
        <v>174</v>
      </c>
      <c r="D433" s="150">
        <v>40.76</v>
      </c>
      <c r="E433" s="151" t="s">
        <v>9</v>
      </c>
      <c r="F433" s="152">
        <v>1</v>
      </c>
      <c r="G433" s="152">
        <v>854</v>
      </c>
    </row>
    <row r="434" spans="1:7" ht="15.75" x14ac:dyDescent="0.3">
      <c r="A434" s="148" t="s">
        <v>172</v>
      </c>
      <c r="B434" s="149">
        <v>1014109</v>
      </c>
      <c r="C434" s="148" t="s">
        <v>175</v>
      </c>
      <c r="D434" s="150">
        <v>46.69</v>
      </c>
      <c r="E434" s="151" t="s">
        <v>9</v>
      </c>
      <c r="F434" s="152">
        <v>1</v>
      </c>
      <c r="G434" s="152">
        <v>679</v>
      </c>
    </row>
    <row r="435" spans="1:7" ht="15.75" x14ac:dyDescent="0.3">
      <c r="A435" s="148" t="s">
        <v>172</v>
      </c>
      <c r="B435" s="149">
        <v>1014137</v>
      </c>
      <c r="C435" s="148" t="s">
        <v>860</v>
      </c>
      <c r="D435" s="150">
        <v>42.09</v>
      </c>
      <c r="E435" s="151" t="s">
        <v>9</v>
      </c>
      <c r="F435" s="152">
        <v>6</v>
      </c>
      <c r="G435" s="152">
        <v>30</v>
      </c>
    </row>
    <row r="436" spans="1:7" ht="15.75" x14ac:dyDescent="0.3">
      <c r="A436" s="148" t="s">
        <v>172</v>
      </c>
      <c r="B436" s="149">
        <v>1014138</v>
      </c>
      <c r="C436" s="148" t="s">
        <v>861</v>
      </c>
      <c r="D436" s="150">
        <v>60.41</v>
      </c>
      <c r="E436" s="151" t="s">
        <v>9</v>
      </c>
      <c r="F436" s="152">
        <v>4</v>
      </c>
      <c r="G436" s="152">
        <v>20</v>
      </c>
    </row>
    <row r="437" spans="1:7" ht="15.75" x14ac:dyDescent="0.3">
      <c r="A437" s="148" t="s">
        <v>172</v>
      </c>
      <c r="B437" s="149">
        <v>1014139</v>
      </c>
      <c r="C437" s="148" t="s">
        <v>862</v>
      </c>
      <c r="D437" s="150">
        <v>78.3</v>
      </c>
      <c r="E437" s="151" t="s">
        <v>9</v>
      </c>
      <c r="F437" s="152">
        <v>3</v>
      </c>
      <c r="G437" s="152">
        <v>15</v>
      </c>
    </row>
    <row r="438" spans="1:7" ht="15.75" x14ac:dyDescent="0.3">
      <c r="A438" s="148" t="s">
        <v>172</v>
      </c>
      <c r="B438" s="149">
        <v>1014117</v>
      </c>
      <c r="C438" s="148" t="s">
        <v>863</v>
      </c>
      <c r="D438" s="150">
        <v>15.44</v>
      </c>
      <c r="E438" s="151" t="s">
        <v>9</v>
      </c>
      <c r="F438" s="152">
        <v>1</v>
      </c>
      <c r="G438" s="152">
        <v>25</v>
      </c>
    </row>
    <row r="439" spans="1:7" ht="15.75" x14ac:dyDescent="0.3">
      <c r="A439" s="148" t="s">
        <v>172</v>
      </c>
      <c r="B439" s="149">
        <v>1045451</v>
      </c>
      <c r="C439" s="148" t="s">
        <v>864</v>
      </c>
      <c r="D439" s="150">
        <v>21.77</v>
      </c>
      <c r="E439" s="151" t="s">
        <v>68</v>
      </c>
      <c r="F439" s="152">
        <v>1</v>
      </c>
      <c r="G439" s="152">
        <v>25</v>
      </c>
    </row>
    <row r="440" spans="1:7" ht="15.75" x14ac:dyDescent="0.3">
      <c r="A440" s="148" t="s">
        <v>172</v>
      </c>
      <c r="B440" s="149">
        <v>1014123</v>
      </c>
      <c r="C440" s="148" t="s">
        <v>176</v>
      </c>
      <c r="D440" s="150">
        <v>9.14</v>
      </c>
      <c r="E440" s="151" t="s">
        <v>9</v>
      </c>
      <c r="F440" s="152">
        <v>20</v>
      </c>
      <c r="G440" s="152">
        <v>100</v>
      </c>
    </row>
    <row r="441" spans="1:7" ht="15.75" x14ac:dyDescent="0.3">
      <c r="A441" s="148" t="s">
        <v>172</v>
      </c>
      <c r="B441" s="149">
        <v>1014120</v>
      </c>
      <c r="C441" s="148" t="s">
        <v>177</v>
      </c>
      <c r="D441" s="150">
        <v>3.96</v>
      </c>
      <c r="E441" s="151" t="s">
        <v>9</v>
      </c>
      <c r="F441" s="152">
        <v>20</v>
      </c>
      <c r="G441" s="152">
        <v>80</v>
      </c>
    </row>
    <row r="442" spans="1:7" ht="15.75" x14ac:dyDescent="0.3">
      <c r="A442" s="148" t="s">
        <v>172</v>
      </c>
      <c r="B442" s="149">
        <v>1002276</v>
      </c>
      <c r="C442" s="148" t="s">
        <v>865</v>
      </c>
      <c r="D442" s="150">
        <v>6.5112426035502997</v>
      </c>
      <c r="E442" s="151" t="s">
        <v>9</v>
      </c>
      <c r="F442" s="152">
        <v>10</v>
      </c>
      <c r="G442" s="152">
        <v>20</v>
      </c>
    </row>
    <row r="443" spans="1:7" ht="15.75" x14ac:dyDescent="0.3">
      <c r="A443" s="148" t="s">
        <v>172</v>
      </c>
      <c r="B443" s="149">
        <v>1058086</v>
      </c>
      <c r="C443" s="148" t="s">
        <v>178</v>
      </c>
      <c r="D443" s="150">
        <v>5.54</v>
      </c>
      <c r="E443" s="151" t="s">
        <v>9</v>
      </c>
      <c r="F443" s="152">
        <v>1</v>
      </c>
      <c r="G443" s="152">
        <v>25</v>
      </c>
    </row>
    <row r="444" spans="1:7" ht="15.75" x14ac:dyDescent="0.3">
      <c r="A444" s="148" t="s">
        <v>172</v>
      </c>
      <c r="B444" s="149">
        <v>1058088</v>
      </c>
      <c r="C444" s="148" t="s">
        <v>179</v>
      </c>
      <c r="D444" s="150">
        <v>18</v>
      </c>
      <c r="E444" s="151" t="s">
        <v>9</v>
      </c>
      <c r="F444" s="152">
        <v>1</v>
      </c>
      <c r="G444" s="152">
        <v>25</v>
      </c>
    </row>
    <row r="445" spans="1:7" ht="15.75" x14ac:dyDescent="0.3">
      <c r="A445" s="148" t="s">
        <v>172</v>
      </c>
      <c r="B445" s="149">
        <v>1020039</v>
      </c>
      <c r="C445" s="148" t="s">
        <v>866</v>
      </c>
      <c r="D445" s="150">
        <v>6.58</v>
      </c>
      <c r="E445" s="151" t="s">
        <v>9</v>
      </c>
      <c r="F445" s="152">
        <v>10</v>
      </c>
      <c r="G445" s="152">
        <v>100</v>
      </c>
    </row>
    <row r="446" spans="1:7" ht="15.75" x14ac:dyDescent="0.3">
      <c r="A446" s="148" t="s">
        <v>172</v>
      </c>
      <c r="B446" s="149">
        <v>1013894</v>
      </c>
      <c r="C446" s="148" t="s">
        <v>180</v>
      </c>
      <c r="D446" s="150">
        <v>2.62</v>
      </c>
      <c r="E446" s="151" t="s">
        <v>9</v>
      </c>
      <c r="F446" s="152">
        <v>40</v>
      </c>
      <c r="G446" s="152">
        <v>160</v>
      </c>
    </row>
    <row r="447" spans="1:7" ht="15.75" x14ac:dyDescent="0.3">
      <c r="A447" s="148" t="s">
        <v>172</v>
      </c>
      <c r="B447" s="149">
        <v>1013914</v>
      </c>
      <c r="C447" s="148" t="s">
        <v>181</v>
      </c>
      <c r="D447" s="150">
        <v>9.07</v>
      </c>
      <c r="E447" s="151" t="s">
        <v>9</v>
      </c>
      <c r="F447" s="152">
        <v>20</v>
      </c>
      <c r="G447" s="152">
        <v>80</v>
      </c>
    </row>
    <row r="448" spans="1:7" ht="15.75" x14ac:dyDescent="0.3">
      <c r="A448" s="148" t="s">
        <v>172</v>
      </c>
      <c r="B448" s="149">
        <v>1013932</v>
      </c>
      <c r="C448" s="148" t="s">
        <v>182</v>
      </c>
      <c r="D448" s="150">
        <v>10.61</v>
      </c>
      <c r="E448" s="151" t="s">
        <v>9</v>
      </c>
      <c r="F448" s="152">
        <v>10</v>
      </c>
      <c r="G448" s="152">
        <v>80</v>
      </c>
    </row>
    <row r="449" spans="1:7" ht="15.75" x14ac:dyDescent="0.3">
      <c r="A449" s="148" t="s">
        <v>172</v>
      </c>
      <c r="B449" s="149">
        <v>1015559</v>
      </c>
      <c r="C449" s="148" t="s">
        <v>867</v>
      </c>
      <c r="D449" s="150">
        <v>15.11</v>
      </c>
      <c r="E449" s="151" t="s">
        <v>9</v>
      </c>
      <c r="F449" s="152">
        <v>10</v>
      </c>
      <c r="G449" s="152">
        <v>40</v>
      </c>
    </row>
    <row r="450" spans="1:7" ht="15.75" x14ac:dyDescent="0.3">
      <c r="A450" s="148" t="s">
        <v>183</v>
      </c>
      <c r="B450" s="149">
        <v>1008386</v>
      </c>
      <c r="C450" s="148" t="s">
        <v>868</v>
      </c>
      <c r="D450" s="150">
        <v>2.39</v>
      </c>
      <c r="E450" s="151" t="s">
        <v>7</v>
      </c>
      <c r="F450" s="152">
        <v>100</v>
      </c>
      <c r="G450" s="152">
        <v>1100</v>
      </c>
    </row>
    <row r="451" spans="1:7" ht="15.75" x14ac:dyDescent="0.3">
      <c r="A451" s="148" t="s">
        <v>183</v>
      </c>
      <c r="B451" s="149">
        <v>1008408</v>
      </c>
      <c r="C451" s="148" t="s">
        <v>869</v>
      </c>
      <c r="D451" s="150">
        <v>3.01</v>
      </c>
      <c r="E451" s="151" t="s">
        <v>7</v>
      </c>
      <c r="F451" s="152">
        <v>100</v>
      </c>
      <c r="G451" s="152">
        <v>700</v>
      </c>
    </row>
    <row r="452" spans="1:7" ht="15.75" x14ac:dyDescent="0.3">
      <c r="A452" s="148" t="s">
        <v>183</v>
      </c>
      <c r="B452" s="149">
        <v>1017870</v>
      </c>
      <c r="C452" s="148" t="s">
        <v>870</v>
      </c>
      <c r="D452" s="150">
        <v>4.95</v>
      </c>
      <c r="E452" s="151" t="s">
        <v>7</v>
      </c>
      <c r="F452" s="152">
        <v>100</v>
      </c>
      <c r="G452" s="152">
        <v>500</v>
      </c>
    </row>
    <row r="453" spans="1:7" ht="15.75" x14ac:dyDescent="0.3">
      <c r="A453" s="148" t="s">
        <v>183</v>
      </c>
      <c r="B453" s="149">
        <v>1048757</v>
      </c>
      <c r="C453" s="148" t="s">
        <v>871</v>
      </c>
      <c r="D453" s="150">
        <v>7.91</v>
      </c>
      <c r="E453" s="151" t="s">
        <v>7</v>
      </c>
      <c r="F453" s="152">
        <v>50</v>
      </c>
      <c r="G453" s="152">
        <v>550</v>
      </c>
    </row>
    <row r="454" spans="1:7" ht="15.75" x14ac:dyDescent="0.3">
      <c r="A454" s="148" t="s">
        <v>183</v>
      </c>
      <c r="B454" s="149">
        <v>1033417</v>
      </c>
      <c r="C454" s="148" t="s">
        <v>872</v>
      </c>
      <c r="D454" s="150">
        <v>12.66</v>
      </c>
      <c r="E454" s="151" t="s">
        <v>7</v>
      </c>
      <c r="F454" s="152">
        <v>50</v>
      </c>
      <c r="G454" s="152">
        <v>250</v>
      </c>
    </row>
    <row r="455" spans="1:7" ht="15.75" x14ac:dyDescent="0.3">
      <c r="A455" s="148" t="s">
        <v>183</v>
      </c>
      <c r="B455" s="149">
        <v>1033481</v>
      </c>
      <c r="C455" s="148" t="s">
        <v>873</v>
      </c>
      <c r="D455" s="150">
        <v>19.23</v>
      </c>
      <c r="E455" s="151" t="s">
        <v>7</v>
      </c>
      <c r="F455" s="152">
        <v>50</v>
      </c>
      <c r="G455" s="152">
        <v>250</v>
      </c>
    </row>
    <row r="456" spans="1:7" ht="15.75" x14ac:dyDescent="0.3">
      <c r="A456" s="148" t="s">
        <v>183</v>
      </c>
      <c r="B456" s="149">
        <v>1033502</v>
      </c>
      <c r="C456" s="148" t="s">
        <v>874</v>
      </c>
      <c r="D456" s="150">
        <v>22.11</v>
      </c>
      <c r="E456" s="151" t="s">
        <v>7</v>
      </c>
      <c r="F456" s="152">
        <v>50</v>
      </c>
      <c r="G456" s="149"/>
    </row>
    <row r="457" spans="1:7" ht="15.75" x14ac:dyDescent="0.3">
      <c r="A457" s="148" t="s">
        <v>183</v>
      </c>
      <c r="B457" s="149">
        <v>1033520</v>
      </c>
      <c r="C457" s="148" t="s">
        <v>875</v>
      </c>
      <c r="D457" s="150">
        <v>41.19</v>
      </c>
      <c r="E457" s="151" t="s">
        <v>7</v>
      </c>
      <c r="F457" s="152">
        <v>50</v>
      </c>
      <c r="G457" s="149"/>
    </row>
    <row r="458" spans="1:7" ht="15.75" x14ac:dyDescent="0.3">
      <c r="A458" s="148" t="s">
        <v>183</v>
      </c>
      <c r="B458" s="149">
        <v>1022682</v>
      </c>
      <c r="C458" s="148" t="s">
        <v>876</v>
      </c>
      <c r="D458" s="150">
        <v>3.26</v>
      </c>
      <c r="E458" s="151" t="s">
        <v>7</v>
      </c>
      <c r="F458" s="152">
        <v>100</v>
      </c>
      <c r="G458" s="152">
        <v>1100</v>
      </c>
    </row>
    <row r="459" spans="1:7" ht="15.75" x14ac:dyDescent="0.3">
      <c r="A459" s="148" t="s">
        <v>183</v>
      </c>
      <c r="B459" s="149">
        <v>1001201</v>
      </c>
      <c r="C459" s="148" t="s">
        <v>877</v>
      </c>
      <c r="D459" s="150">
        <v>4.71</v>
      </c>
      <c r="E459" s="151" t="s">
        <v>7</v>
      </c>
      <c r="F459" s="152">
        <v>50</v>
      </c>
      <c r="G459" s="152">
        <v>550</v>
      </c>
    </row>
    <row r="460" spans="1:7" ht="15.75" x14ac:dyDescent="0.3">
      <c r="A460" s="148" t="s">
        <v>183</v>
      </c>
      <c r="B460" s="149">
        <v>1001202</v>
      </c>
      <c r="C460" s="148" t="s">
        <v>878</v>
      </c>
      <c r="D460" s="150">
        <v>7.56</v>
      </c>
      <c r="E460" s="151" t="s">
        <v>7</v>
      </c>
      <c r="F460" s="152">
        <v>50</v>
      </c>
      <c r="G460" s="152">
        <v>400</v>
      </c>
    </row>
    <row r="461" spans="1:7" ht="15.75" x14ac:dyDescent="0.3">
      <c r="A461" s="148" t="s">
        <v>183</v>
      </c>
      <c r="B461" s="149">
        <v>1001203</v>
      </c>
      <c r="C461" s="148" t="s">
        <v>879</v>
      </c>
      <c r="D461" s="150">
        <v>12.28</v>
      </c>
      <c r="E461" s="151" t="s">
        <v>7</v>
      </c>
      <c r="F461" s="152">
        <v>50</v>
      </c>
      <c r="G461" s="152">
        <v>350</v>
      </c>
    </row>
    <row r="462" spans="1:7" ht="15.75" x14ac:dyDescent="0.3">
      <c r="A462" s="148" t="s">
        <v>183</v>
      </c>
      <c r="B462" s="149">
        <v>1008963</v>
      </c>
      <c r="C462" s="148" t="s">
        <v>880</v>
      </c>
      <c r="D462" s="150">
        <v>19.32</v>
      </c>
      <c r="E462" s="151" t="s">
        <v>7</v>
      </c>
      <c r="F462" s="152">
        <v>50</v>
      </c>
      <c r="G462" s="152">
        <v>350</v>
      </c>
    </row>
    <row r="463" spans="1:7" ht="15.75" x14ac:dyDescent="0.3">
      <c r="A463" s="148" t="s">
        <v>183</v>
      </c>
      <c r="B463" s="149">
        <v>1008964</v>
      </c>
      <c r="C463" s="148" t="s">
        <v>881</v>
      </c>
      <c r="D463" s="150">
        <v>37.869999999999997</v>
      </c>
      <c r="E463" s="151" t="s">
        <v>7</v>
      </c>
      <c r="F463" s="152">
        <v>50</v>
      </c>
      <c r="G463" s="149"/>
    </row>
    <row r="464" spans="1:7" ht="15.75" x14ac:dyDescent="0.3">
      <c r="A464" s="148" t="s">
        <v>183</v>
      </c>
      <c r="B464" s="149">
        <v>1008965</v>
      </c>
      <c r="C464" s="148" t="s">
        <v>882</v>
      </c>
      <c r="D464" s="150">
        <v>51.84</v>
      </c>
      <c r="E464" s="151" t="s">
        <v>7</v>
      </c>
      <c r="F464" s="152">
        <v>50</v>
      </c>
      <c r="G464" s="149"/>
    </row>
    <row r="465" spans="1:7" ht="15.75" x14ac:dyDescent="0.3">
      <c r="A465" s="148" t="s">
        <v>183</v>
      </c>
      <c r="B465" s="149">
        <v>1033420</v>
      </c>
      <c r="C465" s="148" t="s">
        <v>883</v>
      </c>
      <c r="D465" s="150">
        <v>13.4</v>
      </c>
      <c r="E465" s="151" t="s">
        <v>7</v>
      </c>
      <c r="F465" s="152">
        <v>15</v>
      </c>
      <c r="G465" s="152">
        <v>846</v>
      </c>
    </row>
    <row r="466" spans="1:7" ht="15.75" x14ac:dyDescent="0.3">
      <c r="A466" s="148" t="s">
        <v>183</v>
      </c>
      <c r="B466" s="149">
        <v>1033485</v>
      </c>
      <c r="C466" s="148" t="s">
        <v>884</v>
      </c>
      <c r="D466" s="150">
        <v>20.059999999999999</v>
      </c>
      <c r="E466" s="151" t="s">
        <v>7</v>
      </c>
      <c r="F466" s="152">
        <v>10</v>
      </c>
      <c r="G466" s="152">
        <v>550</v>
      </c>
    </row>
    <row r="467" spans="1:7" ht="15.75" x14ac:dyDescent="0.3">
      <c r="A467" s="148" t="s">
        <v>183</v>
      </c>
      <c r="B467" s="149">
        <v>1033506</v>
      </c>
      <c r="C467" s="148" t="s">
        <v>885</v>
      </c>
      <c r="D467" s="150">
        <v>31.41</v>
      </c>
      <c r="E467" s="151" t="s">
        <v>7</v>
      </c>
      <c r="F467" s="152">
        <v>5</v>
      </c>
      <c r="G467" s="152">
        <v>350</v>
      </c>
    </row>
    <row r="468" spans="1:7" ht="15.75" x14ac:dyDescent="0.3">
      <c r="A468" s="148" t="s">
        <v>183</v>
      </c>
      <c r="B468" s="149">
        <v>1038282</v>
      </c>
      <c r="C468" s="148" t="s">
        <v>886</v>
      </c>
      <c r="D468" s="150">
        <v>64.400000000000006</v>
      </c>
      <c r="E468" s="151" t="s">
        <v>7</v>
      </c>
      <c r="F468" s="152">
        <v>5</v>
      </c>
      <c r="G468" s="149"/>
    </row>
    <row r="469" spans="1:7" ht="15.75" x14ac:dyDescent="0.3">
      <c r="A469" s="148" t="s">
        <v>183</v>
      </c>
      <c r="B469" s="149">
        <v>1033589</v>
      </c>
      <c r="C469" s="148" t="s">
        <v>887</v>
      </c>
      <c r="D469" s="150">
        <v>90.34</v>
      </c>
      <c r="E469" s="151" t="s">
        <v>7</v>
      </c>
      <c r="F469" s="152">
        <v>5</v>
      </c>
      <c r="G469" s="152">
        <v>100</v>
      </c>
    </row>
    <row r="470" spans="1:7" ht="15.75" x14ac:dyDescent="0.3">
      <c r="A470" s="148" t="s">
        <v>183</v>
      </c>
      <c r="B470" s="149">
        <v>1001206</v>
      </c>
      <c r="C470" s="148" t="s">
        <v>888</v>
      </c>
      <c r="D470" s="150">
        <v>13.52</v>
      </c>
      <c r="E470" s="151" t="s">
        <v>7</v>
      </c>
      <c r="F470" s="152">
        <v>12</v>
      </c>
      <c r="G470" s="152">
        <v>1080</v>
      </c>
    </row>
    <row r="471" spans="1:7" ht="15.75" x14ac:dyDescent="0.3">
      <c r="A471" s="148" t="s">
        <v>183</v>
      </c>
      <c r="B471" s="149">
        <v>1033864</v>
      </c>
      <c r="C471" s="148" t="s">
        <v>889</v>
      </c>
      <c r="D471" s="150">
        <v>17.8</v>
      </c>
      <c r="E471" s="151" t="s">
        <v>7</v>
      </c>
      <c r="F471" s="152">
        <v>6</v>
      </c>
      <c r="G471" s="152">
        <v>840</v>
      </c>
    </row>
    <row r="472" spans="1:7" ht="15.75" x14ac:dyDescent="0.3">
      <c r="A472" s="148" t="s">
        <v>183</v>
      </c>
      <c r="B472" s="149">
        <v>1033865</v>
      </c>
      <c r="C472" s="148" t="s">
        <v>890</v>
      </c>
      <c r="D472" s="150">
        <v>30.86</v>
      </c>
      <c r="E472" s="151" t="s">
        <v>7</v>
      </c>
      <c r="F472" s="152">
        <v>6</v>
      </c>
      <c r="G472" s="152">
        <v>660</v>
      </c>
    </row>
    <row r="473" spans="1:7" ht="15.75" x14ac:dyDescent="0.3">
      <c r="A473" s="148" t="s">
        <v>183</v>
      </c>
      <c r="B473" s="149">
        <v>1023122</v>
      </c>
      <c r="C473" s="148" t="s">
        <v>891</v>
      </c>
      <c r="D473" s="150">
        <v>41.94</v>
      </c>
      <c r="E473" s="151" t="s">
        <v>7</v>
      </c>
      <c r="F473" s="152">
        <v>6</v>
      </c>
      <c r="G473" s="152">
        <v>420</v>
      </c>
    </row>
    <row r="474" spans="1:7" ht="15.75" x14ac:dyDescent="0.3">
      <c r="A474" s="148" t="s">
        <v>183</v>
      </c>
      <c r="B474" s="149">
        <v>1033866</v>
      </c>
      <c r="C474" s="148" t="s">
        <v>892</v>
      </c>
      <c r="D474" s="150">
        <v>98.94</v>
      </c>
      <c r="E474" s="151" t="s">
        <v>7</v>
      </c>
      <c r="F474" s="152">
        <v>6</v>
      </c>
      <c r="G474" s="149"/>
    </row>
    <row r="475" spans="1:7" ht="15.75" x14ac:dyDescent="0.3">
      <c r="A475" s="148" t="s">
        <v>184</v>
      </c>
      <c r="B475" s="149">
        <v>1047610</v>
      </c>
      <c r="C475" s="148" t="s">
        <v>893</v>
      </c>
      <c r="D475" s="150">
        <v>2.6</v>
      </c>
      <c r="E475" s="151" t="s">
        <v>7</v>
      </c>
      <c r="F475" s="152">
        <v>120</v>
      </c>
      <c r="G475" s="152">
        <v>960</v>
      </c>
    </row>
    <row r="476" spans="1:7" ht="15.75" x14ac:dyDescent="0.3">
      <c r="A476" s="148" t="s">
        <v>184</v>
      </c>
      <c r="B476" s="149">
        <v>1022518</v>
      </c>
      <c r="C476" s="148" t="s">
        <v>894</v>
      </c>
      <c r="D476" s="150">
        <v>3.41</v>
      </c>
      <c r="E476" s="151" t="s">
        <v>7</v>
      </c>
      <c r="F476" s="152">
        <v>120</v>
      </c>
      <c r="G476" s="152">
        <v>840</v>
      </c>
    </row>
    <row r="477" spans="1:7" ht="15.75" x14ac:dyDescent="0.3">
      <c r="A477" s="148" t="s">
        <v>184</v>
      </c>
      <c r="B477" s="149">
        <v>1022689</v>
      </c>
      <c r="C477" s="148" t="s">
        <v>895</v>
      </c>
      <c r="D477" s="150">
        <v>5.62</v>
      </c>
      <c r="E477" s="151" t="s">
        <v>7</v>
      </c>
      <c r="F477" s="152">
        <v>50</v>
      </c>
      <c r="G477" s="152">
        <v>450</v>
      </c>
    </row>
    <row r="478" spans="1:7" ht="15.75" x14ac:dyDescent="0.3">
      <c r="A478" s="148" t="s">
        <v>184</v>
      </c>
      <c r="B478" s="149">
        <v>1001220</v>
      </c>
      <c r="C478" s="148" t="s">
        <v>896</v>
      </c>
      <c r="D478" s="150">
        <v>7.44</v>
      </c>
      <c r="E478" s="151" t="s">
        <v>7</v>
      </c>
      <c r="F478" s="152">
        <v>50</v>
      </c>
      <c r="G478" s="152">
        <v>550</v>
      </c>
    </row>
    <row r="479" spans="1:7" ht="15.75" x14ac:dyDescent="0.3">
      <c r="A479" s="148" t="s">
        <v>184</v>
      </c>
      <c r="B479" s="149">
        <v>1008979</v>
      </c>
      <c r="C479" s="148" t="s">
        <v>897</v>
      </c>
      <c r="D479" s="150">
        <v>13.05</v>
      </c>
      <c r="E479" s="151" t="s">
        <v>7</v>
      </c>
      <c r="F479" s="152">
        <v>50</v>
      </c>
      <c r="G479" s="152">
        <v>350</v>
      </c>
    </row>
    <row r="480" spans="1:7" ht="15.75" x14ac:dyDescent="0.3">
      <c r="A480" s="148" t="s">
        <v>184</v>
      </c>
      <c r="B480" s="149">
        <v>1008980</v>
      </c>
      <c r="C480" s="148" t="s">
        <v>898</v>
      </c>
      <c r="D480" s="150">
        <v>17.8</v>
      </c>
      <c r="E480" s="151" t="s">
        <v>7</v>
      </c>
      <c r="F480" s="152">
        <v>50</v>
      </c>
      <c r="G480" s="152">
        <v>350</v>
      </c>
    </row>
    <row r="481" spans="1:7" ht="15.75" x14ac:dyDescent="0.3">
      <c r="A481" s="148" t="s">
        <v>184</v>
      </c>
      <c r="B481" s="149">
        <v>1008981</v>
      </c>
      <c r="C481" s="148" t="s">
        <v>899</v>
      </c>
      <c r="D481" s="150">
        <v>27.71</v>
      </c>
      <c r="E481" s="151" t="s">
        <v>7</v>
      </c>
      <c r="F481" s="152">
        <v>50</v>
      </c>
      <c r="G481" s="149"/>
    </row>
    <row r="482" spans="1:7" ht="15.75" x14ac:dyDescent="0.3">
      <c r="A482" s="148" t="s">
        <v>184</v>
      </c>
      <c r="B482" s="149">
        <v>1008982</v>
      </c>
      <c r="C482" s="148" t="s">
        <v>900</v>
      </c>
      <c r="D482" s="150">
        <v>43.53</v>
      </c>
      <c r="E482" s="151" t="s">
        <v>7</v>
      </c>
      <c r="F482" s="152">
        <v>50</v>
      </c>
      <c r="G482" s="152">
        <v>50</v>
      </c>
    </row>
    <row r="483" spans="1:7" ht="15.75" x14ac:dyDescent="0.3">
      <c r="A483" s="148" t="s">
        <v>184</v>
      </c>
      <c r="B483" s="149">
        <v>1033896</v>
      </c>
      <c r="C483" s="148" t="s">
        <v>901</v>
      </c>
      <c r="D483" s="150">
        <v>2.67</v>
      </c>
      <c r="E483" s="151" t="s">
        <v>7</v>
      </c>
      <c r="F483" s="152">
        <v>100</v>
      </c>
      <c r="G483" s="152">
        <v>1100</v>
      </c>
    </row>
    <row r="484" spans="1:7" ht="15.75" x14ac:dyDescent="0.3">
      <c r="A484" s="148" t="s">
        <v>184</v>
      </c>
      <c r="B484" s="149">
        <v>1033222</v>
      </c>
      <c r="C484" s="148" t="s">
        <v>902</v>
      </c>
      <c r="D484" s="150">
        <v>3.53</v>
      </c>
      <c r="E484" s="151" t="s">
        <v>7</v>
      </c>
      <c r="F484" s="152">
        <v>100</v>
      </c>
      <c r="G484" s="152">
        <v>700</v>
      </c>
    </row>
    <row r="485" spans="1:7" ht="15.75" x14ac:dyDescent="0.3">
      <c r="A485" s="148" t="s">
        <v>184</v>
      </c>
      <c r="B485" s="149">
        <v>1033305</v>
      </c>
      <c r="C485" s="148" t="s">
        <v>903</v>
      </c>
      <c r="D485" s="150">
        <v>5.53</v>
      </c>
      <c r="E485" s="151" t="s">
        <v>7</v>
      </c>
      <c r="F485" s="152">
        <v>50</v>
      </c>
      <c r="G485" s="152">
        <v>450</v>
      </c>
    </row>
    <row r="486" spans="1:7" ht="15.75" x14ac:dyDescent="0.3">
      <c r="A486" s="148" t="s">
        <v>184</v>
      </c>
      <c r="B486" s="149">
        <v>1033395</v>
      </c>
      <c r="C486" s="148" t="s">
        <v>904</v>
      </c>
      <c r="D486" s="150">
        <v>10.61</v>
      </c>
      <c r="E486" s="151" t="s">
        <v>7</v>
      </c>
      <c r="F486" s="152">
        <v>100</v>
      </c>
      <c r="G486" s="152">
        <v>700</v>
      </c>
    </row>
    <row r="487" spans="1:7" ht="15.75" x14ac:dyDescent="0.3">
      <c r="A487" s="148" t="s">
        <v>184</v>
      </c>
      <c r="B487" s="149">
        <v>1008939</v>
      </c>
      <c r="C487" s="148" t="s">
        <v>905</v>
      </c>
      <c r="D487" s="150">
        <v>13.58</v>
      </c>
      <c r="E487" s="151" t="s">
        <v>7</v>
      </c>
      <c r="F487" s="152">
        <v>6</v>
      </c>
      <c r="G487" s="152">
        <v>840</v>
      </c>
    </row>
    <row r="488" spans="1:7" ht="15.75" x14ac:dyDescent="0.3">
      <c r="A488" s="148" t="s">
        <v>184</v>
      </c>
      <c r="B488" s="149">
        <v>1008940</v>
      </c>
      <c r="C488" s="148" t="s">
        <v>906</v>
      </c>
      <c r="D488" s="150">
        <v>20.76</v>
      </c>
      <c r="E488" s="151" t="s">
        <v>7</v>
      </c>
      <c r="F488" s="152">
        <v>6</v>
      </c>
      <c r="G488" s="152">
        <v>660</v>
      </c>
    </row>
    <row r="489" spans="1:7" ht="15.75" x14ac:dyDescent="0.3">
      <c r="A489" s="148" t="s">
        <v>184</v>
      </c>
      <c r="B489" s="149">
        <v>1008941</v>
      </c>
      <c r="C489" s="148" t="s">
        <v>907</v>
      </c>
      <c r="D489" s="150">
        <v>31.05</v>
      </c>
      <c r="E489" s="151" t="s">
        <v>7</v>
      </c>
      <c r="F489" s="152">
        <v>6</v>
      </c>
      <c r="G489" s="152">
        <v>420</v>
      </c>
    </row>
    <row r="490" spans="1:7" ht="15.75" x14ac:dyDescent="0.3">
      <c r="A490" s="148" t="s">
        <v>184</v>
      </c>
      <c r="B490" s="149">
        <v>1008864</v>
      </c>
      <c r="C490" s="148" t="s">
        <v>908</v>
      </c>
      <c r="D490" s="150">
        <v>44.94</v>
      </c>
      <c r="E490" s="151" t="s">
        <v>7</v>
      </c>
      <c r="F490" s="152">
        <v>6</v>
      </c>
      <c r="G490" s="149"/>
    </row>
    <row r="491" spans="1:7" ht="15.75" x14ac:dyDescent="0.3">
      <c r="A491" s="148" t="s">
        <v>184</v>
      </c>
      <c r="B491" s="149">
        <v>1008874</v>
      </c>
      <c r="C491" s="148" t="s">
        <v>909</v>
      </c>
      <c r="D491" s="150">
        <v>64.11</v>
      </c>
      <c r="E491" s="151" t="s">
        <v>7</v>
      </c>
      <c r="F491" s="152">
        <v>6</v>
      </c>
      <c r="G491" s="149"/>
    </row>
    <row r="492" spans="1:7" ht="15.75" x14ac:dyDescent="0.3">
      <c r="A492" s="148" t="s">
        <v>184</v>
      </c>
      <c r="B492" s="149">
        <v>1008879</v>
      </c>
      <c r="C492" s="148" t="s">
        <v>910</v>
      </c>
      <c r="D492" s="150">
        <v>83.79</v>
      </c>
      <c r="E492" s="151" t="s">
        <v>7</v>
      </c>
      <c r="F492" s="152">
        <v>6</v>
      </c>
      <c r="G492" s="149"/>
    </row>
    <row r="493" spans="1:7" ht="15.75" x14ac:dyDescent="0.3">
      <c r="A493" s="148" t="s">
        <v>184</v>
      </c>
      <c r="B493" s="149">
        <v>1033418</v>
      </c>
      <c r="C493" s="148" t="s">
        <v>911</v>
      </c>
      <c r="D493" s="150">
        <v>31.47</v>
      </c>
      <c r="E493" s="151" t="s">
        <v>7</v>
      </c>
      <c r="F493" s="152">
        <v>6</v>
      </c>
      <c r="G493" s="152">
        <v>60</v>
      </c>
    </row>
    <row r="494" spans="1:7" ht="15.75" x14ac:dyDescent="0.3">
      <c r="A494" s="148" t="s">
        <v>184</v>
      </c>
      <c r="B494" s="149">
        <v>1033482</v>
      </c>
      <c r="C494" s="148" t="s">
        <v>912</v>
      </c>
      <c r="D494" s="150">
        <v>36.32</v>
      </c>
      <c r="E494" s="151" t="s">
        <v>7</v>
      </c>
      <c r="F494" s="152">
        <v>6</v>
      </c>
      <c r="G494" s="152">
        <v>30</v>
      </c>
    </row>
    <row r="495" spans="1:7" ht="15.75" x14ac:dyDescent="0.3">
      <c r="A495" s="148" t="s">
        <v>184</v>
      </c>
      <c r="B495" s="149">
        <v>1033503</v>
      </c>
      <c r="C495" s="148" t="s">
        <v>913</v>
      </c>
      <c r="D495" s="150">
        <v>52.19</v>
      </c>
      <c r="E495" s="151" t="s">
        <v>7</v>
      </c>
      <c r="F495" s="152">
        <v>6</v>
      </c>
      <c r="G495" s="152">
        <v>18</v>
      </c>
    </row>
    <row r="496" spans="1:7" ht="15.75" x14ac:dyDescent="0.3">
      <c r="A496" s="148" t="s">
        <v>184</v>
      </c>
      <c r="B496" s="149">
        <v>1033521</v>
      </c>
      <c r="C496" s="148" t="s">
        <v>914</v>
      </c>
      <c r="D496" s="150">
        <v>136.84</v>
      </c>
      <c r="E496" s="151" t="s">
        <v>7</v>
      </c>
      <c r="F496" s="152">
        <v>6</v>
      </c>
      <c r="G496" s="152">
        <v>18</v>
      </c>
    </row>
    <row r="497" spans="1:7" ht="15.75" x14ac:dyDescent="0.3">
      <c r="A497" s="148" t="s">
        <v>184</v>
      </c>
      <c r="B497" s="149">
        <v>1033536</v>
      </c>
      <c r="C497" s="148" t="s">
        <v>915</v>
      </c>
      <c r="D497" s="150">
        <v>139.35</v>
      </c>
      <c r="E497" s="151" t="s">
        <v>7</v>
      </c>
      <c r="F497" s="152">
        <v>6</v>
      </c>
      <c r="G497" s="149"/>
    </row>
    <row r="498" spans="1:7" ht="15.75" x14ac:dyDescent="0.3">
      <c r="A498" s="148" t="s">
        <v>184</v>
      </c>
      <c r="B498" s="149">
        <v>1033587</v>
      </c>
      <c r="C498" s="148" t="s">
        <v>916</v>
      </c>
      <c r="D498" s="150">
        <v>175.58</v>
      </c>
      <c r="E498" s="151" t="s">
        <v>7</v>
      </c>
      <c r="F498" s="152">
        <v>6</v>
      </c>
      <c r="G498" s="149"/>
    </row>
    <row r="499" spans="1:7" ht="15.75" x14ac:dyDescent="0.3">
      <c r="A499" s="148" t="s">
        <v>141</v>
      </c>
      <c r="B499" s="149">
        <v>1012859</v>
      </c>
      <c r="C499" s="148" t="s">
        <v>917</v>
      </c>
      <c r="D499" s="150">
        <v>1.1299999999999999</v>
      </c>
      <c r="E499" s="151" t="s">
        <v>7</v>
      </c>
      <c r="F499" s="152">
        <v>50</v>
      </c>
      <c r="G499" s="152">
        <v>2500</v>
      </c>
    </row>
    <row r="500" spans="1:7" ht="15.75" x14ac:dyDescent="0.3">
      <c r="A500" s="148" t="s">
        <v>141</v>
      </c>
      <c r="B500" s="149">
        <v>1012863</v>
      </c>
      <c r="C500" s="148" t="s">
        <v>918</v>
      </c>
      <c r="D500" s="150">
        <v>1.23</v>
      </c>
      <c r="E500" s="151" t="s">
        <v>7</v>
      </c>
      <c r="F500" s="152">
        <v>50</v>
      </c>
      <c r="G500" s="152">
        <v>2000</v>
      </c>
    </row>
    <row r="501" spans="1:7" ht="15.75" x14ac:dyDescent="0.3">
      <c r="A501" s="148" t="s">
        <v>141</v>
      </c>
      <c r="B501" s="149">
        <v>1012867</v>
      </c>
      <c r="C501" s="148" t="s">
        <v>919</v>
      </c>
      <c r="D501" s="150">
        <v>1.98</v>
      </c>
      <c r="E501" s="151" t="s">
        <v>7</v>
      </c>
      <c r="F501" s="152">
        <v>50</v>
      </c>
      <c r="G501" s="152">
        <v>1400</v>
      </c>
    </row>
    <row r="502" spans="1:7" ht="15.75" x14ac:dyDescent="0.3">
      <c r="A502" s="148" t="s">
        <v>141</v>
      </c>
      <c r="B502" s="149">
        <v>1012858</v>
      </c>
      <c r="C502" s="148" t="s">
        <v>920</v>
      </c>
      <c r="D502" s="150">
        <v>1.1299999999999999</v>
      </c>
      <c r="E502" s="151" t="s">
        <v>7</v>
      </c>
      <c r="F502" s="152">
        <v>50</v>
      </c>
      <c r="G502" s="152">
        <v>2500</v>
      </c>
    </row>
    <row r="503" spans="1:7" ht="15.75" x14ac:dyDescent="0.3">
      <c r="A503" s="148" t="s">
        <v>141</v>
      </c>
      <c r="B503" s="149">
        <v>1012862</v>
      </c>
      <c r="C503" s="148" t="s">
        <v>921</v>
      </c>
      <c r="D503" s="150">
        <v>1.23</v>
      </c>
      <c r="E503" s="151" t="s">
        <v>7</v>
      </c>
      <c r="F503" s="152">
        <v>50</v>
      </c>
      <c r="G503" s="152">
        <v>2000</v>
      </c>
    </row>
    <row r="504" spans="1:7" ht="15.75" x14ac:dyDescent="0.3">
      <c r="A504" s="148" t="s">
        <v>141</v>
      </c>
      <c r="B504" s="149">
        <v>1012866</v>
      </c>
      <c r="C504" s="148" t="s">
        <v>922</v>
      </c>
      <c r="D504" s="150">
        <v>1.98</v>
      </c>
      <c r="E504" s="151" t="s">
        <v>7</v>
      </c>
      <c r="F504" s="152">
        <v>50</v>
      </c>
      <c r="G504" s="152">
        <v>1400</v>
      </c>
    </row>
    <row r="505" spans="1:7" ht="15.75" x14ac:dyDescent="0.3">
      <c r="A505" s="148" t="s">
        <v>69</v>
      </c>
      <c r="B505" s="149">
        <v>1057453</v>
      </c>
      <c r="C505" s="148" t="s">
        <v>923</v>
      </c>
      <c r="D505" s="150">
        <v>0.4</v>
      </c>
      <c r="E505" s="151" t="s">
        <v>9</v>
      </c>
      <c r="F505" s="152">
        <v>20</v>
      </c>
      <c r="G505" s="152">
        <v>900</v>
      </c>
    </row>
    <row r="506" spans="1:7" ht="15.75" x14ac:dyDescent="0.3">
      <c r="A506" s="148" t="s">
        <v>69</v>
      </c>
      <c r="B506" s="149">
        <v>1057454</v>
      </c>
      <c r="C506" s="148" t="s">
        <v>924</v>
      </c>
      <c r="D506" s="150">
        <v>0.54</v>
      </c>
      <c r="E506" s="151" t="s">
        <v>9</v>
      </c>
      <c r="F506" s="152">
        <v>20</v>
      </c>
      <c r="G506" s="152">
        <v>520</v>
      </c>
    </row>
    <row r="507" spans="1:7" ht="15.75" x14ac:dyDescent="0.3">
      <c r="A507" s="148" t="s">
        <v>69</v>
      </c>
      <c r="B507" s="149">
        <v>1057455</v>
      </c>
      <c r="C507" s="148" t="s">
        <v>925</v>
      </c>
      <c r="D507" s="150">
        <v>0.74</v>
      </c>
      <c r="E507" s="151" t="s">
        <v>9</v>
      </c>
      <c r="F507" s="152">
        <v>20</v>
      </c>
      <c r="G507" s="152">
        <v>300</v>
      </c>
    </row>
    <row r="508" spans="1:7" ht="15.75" x14ac:dyDescent="0.3">
      <c r="A508" s="148" t="s">
        <v>69</v>
      </c>
      <c r="B508" s="149">
        <v>1057456</v>
      </c>
      <c r="C508" s="148" t="s">
        <v>926</v>
      </c>
      <c r="D508" s="150">
        <v>1.05</v>
      </c>
      <c r="E508" s="151" t="s">
        <v>9</v>
      </c>
      <c r="F508" s="152">
        <v>10</v>
      </c>
      <c r="G508" s="152">
        <v>150</v>
      </c>
    </row>
    <row r="509" spans="1:7" ht="15.75" x14ac:dyDescent="0.3">
      <c r="A509" s="148" t="s">
        <v>69</v>
      </c>
      <c r="B509" s="149">
        <v>1058010</v>
      </c>
      <c r="C509" s="148" t="s">
        <v>927</v>
      </c>
      <c r="D509" s="150">
        <v>0.4</v>
      </c>
      <c r="E509" s="151" t="s">
        <v>9</v>
      </c>
      <c r="F509" s="152">
        <v>20</v>
      </c>
      <c r="G509" s="152">
        <v>900</v>
      </c>
    </row>
    <row r="510" spans="1:7" ht="15.75" x14ac:dyDescent="0.3">
      <c r="A510" s="148" t="s">
        <v>69</v>
      </c>
      <c r="B510" s="149">
        <v>1058011</v>
      </c>
      <c r="C510" s="148" t="s">
        <v>928</v>
      </c>
      <c r="D510" s="150">
        <v>0.54</v>
      </c>
      <c r="E510" s="151" t="s">
        <v>9</v>
      </c>
      <c r="F510" s="152">
        <v>20</v>
      </c>
      <c r="G510" s="152">
        <v>520</v>
      </c>
    </row>
    <row r="511" spans="1:7" ht="15.75" x14ac:dyDescent="0.3">
      <c r="A511" s="148" t="s">
        <v>69</v>
      </c>
      <c r="B511" s="149">
        <v>1058012</v>
      </c>
      <c r="C511" s="148" t="s">
        <v>929</v>
      </c>
      <c r="D511" s="150">
        <v>0.74</v>
      </c>
      <c r="E511" s="151" t="s">
        <v>9</v>
      </c>
      <c r="F511" s="152">
        <v>20</v>
      </c>
      <c r="G511" s="152">
        <v>300</v>
      </c>
    </row>
    <row r="512" spans="1:7" ht="15.75" x14ac:dyDescent="0.3">
      <c r="A512" s="148" t="s">
        <v>69</v>
      </c>
      <c r="B512" s="149">
        <v>1058013</v>
      </c>
      <c r="C512" s="148" t="s">
        <v>930</v>
      </c>
      <c r="D512" s="150">
        <v>0.4</v>
      </c>
      <c r="E512" s="151" t="s">
        <v>9</v>
      </c>
      <c r="F512" s="152">
        <v>20</v>
      </c>
      <c r="G512" s="152">
        <v>900</v>
      </c>
    </row>
    <row r="513" spans="1:7" ht="15.75" x14ac:dyDescent="0.3">
      <c r="A513" s="148" t="s">
        <v>69</v>
      </c>
      <c r="B513" s="149">
        <v>1058014</v>
      </c>
      <c r="C513" s="148" t="s">
        <v>931</v>
      </c>
      <c r="D513" s="150">
        <v>0.54</v>
      </c>
      <c r="E513" s="151" t="s">
        <v>9</v>
      </c>
      <c r="F513" s="152">
        <v>20</v>
      </c>
      <c r="G513" s="152">
        <v>520</v>
      </c>
    </row>
    <row r="514" spans="1:7" ht="15.75" x14ac:dyDescent="0.3">
      <c r="A514" s="148" t="s">
        <v>69</v>
      </c>
      <c r="B514" s="149">
        <v>1058015</v>
      </c>
      <c r="C514" s="148" t="s">
        <v>932</v>
      </c>
      <c r="D514" s="150">
        <v>0.74</v>
      </c>
      <c r="E514" s="151" t="s">
        <v>9</v>
      </c>
      <c r="F514" s="152">
        <v>20</v>
      </c>
      <c r="G514" s="152">
        <v>300</v>
      </c>
    </row>
    <row r="515" spans="1:7" ht="15.75" x14ac:dyDescent="0.3">
      <c r="A515" s="148" t="s">
        <v>69</v>
      </c>
      <c r="B515" s="149">
        <v>1045464</v>
      </c>
      <c r="C515" s="148" t="s">
        <v>185</v>
      </c>
      <c r="D515" s="150">
        <v>2.0499999999999998</v>
      </c>
      <c r="E515" s="151" t="s">
        <v>9</v>
      </c>
      <c r="F515" s="152">
        <v>5</v>
      </c>
      <c r="G515" s="152">
        <v>80</v>
      </c>
    </row>
    <row r="516" spans="1:7" ht="15.75" x14ac:dyDescent="0.3">
      <c r="A516" s="148" t="s">
        <v>69</v>
      </c>
      <c r="B516" s="149">
        <v>1045489</v>
      </c>
      <c r="C516" s="148" t="s">
        <v>186</v>
      </c>
      <c r="D516" s="150">
        <v>2.78</v>
      </c>
      <c r="E516" s="151" t="s">
        <v>9</v>
      </c>
      <c r="F516" s="152">
        <v>5</v>
      </c>
      <c r="G516" s="152">
        <v>70</v>
      </c>
    </row>
    <row r="517" spans="1:7" ht="15.75" x14ac:dyDescent="0.3">
      <c r="A517" s="148" t="s">
        <v>69</v>
      </c>
      <c r="B517" s="149">
        <v>1045490</v>
      </c>
      <c r="C517" s="148" t="s">
        <v>187</v>
      </c>
      <c r="D517" s="150">
        <v>4.49</v>
      </c>
      <c r="E517" s="151" t="s">
        <v>9</v>
      </c>
      <c r="F517" s="152">
        <v>5</v>
      </c>
      <c r="G517" s="152">
        <v>35</v>
      </c>
    </row>
    <row r="518" spans="1:7" ht="15.75" x14ac:dyDescent="0.3">
      <c r="A518" s="148" t="s">
        <v>69</v>
      </c>
      <c r="B518" s="149">
        <v>1085087</v>
      </c>
      <c r="C518" s="148" t="s">
        <v>188</v>
      </c>
      <c r="D518" s="150">
        <v>15.07</v>
      </c>
      <c r="E518" s="151" t="s">
        <v>9</v>
      </c>
      <c r="F518" s="152">
        <v>2</v>
      </c>
      <c r="G518" s="152">
        <v>18</v>
      </c>
    </row>
    <row r="519" spans="1:7" ht="15.75" x14ac:dyDescent="0.3">
      <c r="A519" s="148" t="s">
        <v>69</v>
      </c>
      <c r="B519" s="149">
        <v>1008718</v>
      </c>
      <c r="C519" s="148" t="s">
        <v>189</v>
      </c>
      <c r="D519" s="150">
        <v>14.82</v>
      </c>
      <c r="E519" s="151" t="s">
        <v>9</v>
      </c>
      <c r="F519" s="152">
        <v>1</v>
      </c>
      <c r="G519" s="152">
        <v>15</v>
      </c>
    </row>
    <row r="520" spans="1:7" ht="15.75" x14ac:dyDescent="0.3">
      <c r="A520" s="148" t="s">
        <v>69</v>
      </c>
      <c r="B520" s="149">
        <v>1008719</v>
      </c>
      <c r="C520" s="148" t="s">
        <v>190</v>
      </c>
      <c r="D520" s="150">
        <v>15.84</v>
      </c>
      <c r="E520" s="151" t="s">
        <v>9</v>
      </c>
      <c r="F520" s="152">
        <v>1</v>
      </c>
      <c r="G520" s="152">
        <v>15</v>
      </c>
    </row>
    <row r="521" spans="1:7" ht="15.75" x14ac:dyDescent="0.3">
      <c r="A521" s="148" t="s">
        <v>69</v>
      </c>
      <c r="B521" s="149">
        <v>1008679</v>
      </c>
      <c r="C521" s="148" t="s">
        <v>191</v>
      </c>
      <c r="D521" s="150">
        <v>3.17</v>
      </c>
      <c r="E521" s="151" t="s">
        <v>9</v>
      </c>
      <c r="F521" s="152">
        <v>5</v>
      </c>
      <c r="G521" s="152">
        <v>100</v>
      </c>
    </row>
    <row r="522" spans="1:7" ht="15.75" x14ac:dyDescent="0.3">
      <c r="A522" s="148" t="s">
        <v>69</v>
      </c>
      <c r="B522" s="149">
        <v>1008680</v>
      </c>
      <c r="C522" s="148" t="s">
        <v>192</v>
      </c>
      <c r="D522" s="150">
        <v>3.91</v>
      </c>
      <c r="E522" s="151" t="s">
        <v>9</v>
      </c>
      <c r="F522" s="152">
        <v>5</v>
      </c>
      <c r="G522" s="152">
        <v>40</v>
      </c>
    </row>
    <row r="523" spans="1:7" ht="15.75" x14ac:dyDescent="0.3">
      <c r="A523" s="148" t="s">
        <v>69</v>
      </c>
      <c r="B523" s="149">
        <v>1001245</v>
      </c>
      <c r="C523" s="148" t="s">
        <v>194</v>
      </c>
      <c r="D523" s="150">
        <v>10.68</v>
      </c>
      <c r="E523" s="151" t="s">
        <v>9</v>
      </c>
      <c r="F523" s="152">
        <v>1</v>
      </c>
      <c r="G523" s="152">
        <v>10</v>
      </c>
    </row>
    <row r="524" spans="1:7" ht="15.75" x14ac:dyDescent="0.3">
      <c r="A524" s="148" t="s">
        <v>69</v>
      </c>
      <c r="B524" s="149">
        <v>1008681</v>
      </c>
      <c r="C524" s="148" t="s">
        <v>193</v>
      </c>
      <c r="D524" s="150">
        <v>5.97</v>
      </c>
      <c r="E524" s="151" t="s">
        <v>9</v>
      </c>
      <c r="F524" s="152">
        <v>5</v>
      </c>
      <c r="G524" s="152">
        <v>25</v>
      </c>
    </row>
    <row r="525" spans="1:7" ht="15.75" x14ac:dyDescent="0.3">
      <c r="A525" s="148" t="s">
        <v>69</v>
      </c>
      <c r="B525" s="149">
        <v>1008683</v>
      </c>
      <c r="C525" s="148" t="s">
        <v>195</v>
      </c>
      <c r="D525" s="150">
        <v>19.309999999999999</v>
      </c>
      <c r="E525" s="151" t="s">
        <v>9</v>
      </c>
      <c r="F525" s="152">
        <v>1</v>
      </c>
      <c r="G525" s="152">
        <v>10</v>
      </c>
    </row>
    <row r="526" spans="1:7" ht="15.75" x14ac:dyDescent="0.3">
      <c r="A526" s="148" t="s">
        <v>69</v>
      </c>
      <c r="B526" s="149">
        <v>1042859</v>
      </c>
      <c r="C526" s="148" t="s">
        <v>196</v>
      </c>
      <c r="D526" s="150">
        <v>47.5</v>
      </c>
      <c r="E526" s="151" t="s">
        <v>9</v>
      </c>
      <c r="F526" s="152">
        <v>1</v>
      </c>
      <c r="G526" s="152">
        <v>5</v>
      </c>
    </row>
    <row r="527" spans="1:7" ht="15.75" x14ac:dyDescent="0.3">
      <c r="A527" s="148" t="s">
        <v>69</v>
      </c>
      <c r="B527" s="149">
        <v>1042858</v>
      </c>
      <c r="C527" s="148" t="s">
        <v>197</v>
      </c>
      <c r="D527" s="150">
        <v>79.150000000000006</v>
      </c>
      <c r="E527" s="151" t="s">
        <v>9</v>
      </c>
      <c r="F527" s="152">
        <v>1</v>
      </c>
      <c r="G527" s="152">
        <v>3</v>
      </c>
    </row>
    <row r="528" spans="1:7" ht="15.75" x14ac:dyDescent="0.3">
      <c r="A528" s="148" t="s">
        <v>69</v>
      </c>
      <c r="B528" s="149">
        <v>1085080</v>
      </c>
      <c r="C528" s="148" t="s">
        <v>198</v>
      </c>
      <c r="D528" s="150">
        <v>142.68</v>
      </c>
      <c r="E528" s="151" t="s">
        <v>9</v>
      </c>
      <c r="F528" s="152">
        <v>1</v>
      </c>
      <c r="G528" s="152">
        <v>2</v>
      </c>
    </row>
    <row r="529" spans="1:7" ht="15.75" x14ac:dyDescent="0.3">
      <c r="A529" s="148" t="s">
        <v>69</v>
      </c>
      <c r="B529" s="149">
        <v>1008669</v>
      </c>
      <c r="C529" s="148" t="s">
        <v>199</v>
      </c>
      <c r="D529" s="150">
        <v>2.4500000000000002</v>
      </c>
      <c r="E529" s="151" t="s">
        <v>9</v>
      </c>
      <c r="F529" s="152">
        <v>5</v>
      </c>
      <c r="G529" s="152">
        <v>100</v>
      </c>
    </row>
    <row r="530" spans="1:7" ht="15.75" x14ac:dyDescent="0.3">
      <c r="A530" s="148" t="s">
        <v>69</v>
      </c>
      <c r="B530" s="149">
        <v>1008932</v>
      </c>
      <c r="C530" s="148" t="s">
        <v>200</v>
      </c>
      <c r="D530" s="150">
        <v>3.96</v>
      </c>
      <c r="E530" s="151" t="s">
        <v>9</v>
      </c>
      <c r="F530" s="152">
        <v>5</v>
      </c>
      <c r="G530" s="152">
        <v>80</v>
      </c>
    </row>
    <row r="531" spans="1:7" ht="15.75" x14ac:dyDescent="0.3">
      <c r="A531" s="148" t="s">
        <v>69</v>
      </c>
      <c r="B531" s="149">
        <v>1008671</v>
      </c>
      <c r="C531" s="148" t="s">
        <v>201</v>
      </c>
      <c r="D531" s="150">
        <v>4.5999999999999996</v>
      </c>
      <c r="E531" s="151" t="s">
        <v>9</v>
      </c>
      <c r="F531" s="152">
        <v>5</v>
      </c>
      <c r="G531" s="152">
        <v>50</v>
      </c>
    </row>
    <row r="532" spans="1:7" ht="15.75" x14ac:dyDescent="0.3">
      <c r="A532" s="148" t="s">
        <v>69</v>
      </c>
      <c r="B532" s="149">
        <v>1001235</v>
      </c>
      <c r="C532" s="148" t="s">
        <v>202</v>
      </c>
      <c r="D532" s="150">
        <v>8.49</v>
      </c>
      <c r="E532" s="151" t="s">
        <v>9</v>
      </c>
      <c r="F532" s="152">
        <v>1</v>
      </c>
      <c r="G532" s="152">
        <v>15</v>
      </c>
    </row>
    <row r="533" spans="1:7" ht="15.75" x14ac:dyDescent="0.3">
      <c r="A533" s="148" t="s">
        <v>69</v>
      </c>
      <c r="B533" s="149">
        <v>1008673</v>
      </c>
      <c r="C533" s="148" t="s">
        <v>203</v>
      </c>
      <c r="D533" s="150">
        <v>15.84</v>
      </c>
      <c r="E533" s="151" t="s">
        <v>9</v>
      </c>
      <c r="F533" s="152">
        <v>1</v>
      </c>
      <c r="G533" s="152">
        <v>10</v>
      </c>
    </row>
    <row r="534" spans="1:7" ht="15.75" x14ac:dyDescent="0.3">
      <c r="A534" s="148" t="s">
        <v>69</v>
      </c>
      <c r="B534" s="149">
        <v>1042866</v>
      </c>
      <c r="C534" s="148" t="s">
        <v>204</v>
      </c>
      <c r="D534" s="150">
        <v>28.47</v>
      </c>
      <c r="E534" s="151" t="s">
        <v>9</v>
      </c>
      <c r="F534" s="152">
        <v>1</v>
      </c>
      <c r="G534" s="152">
        <v>10</v>
      </c>
    </row>
    <row r="535" spans="1:7" ht="15.75" x14ac:dyDescent="0.3">
      <c r="A535" s="148" t="s">
        <v>69</v>
      </c>
      <c r="B535" s="149">
        <v>1042865</v>
      </c>
      <c r="C535" s="148" t="s">
        <v>205</v>
      </c>
      <c r="D535" s="150">
        <v>45.91</v>
      </c>
      <c r="E535" s="151" t="s">
        <v>9</v>
      </c>
      <c r="F535" s="152">
        <v>1</v>
      </c>
      <c r="G535" s="152">
        <v>5</v>
      </c>
    </row>
    <row r="536" spans="1:7" ht="15.75" x14ac:dyDescent="0.3">
      <c r="A536" s="148" t="s">
        <v>69</v>
      </c>
      <c r="B536" s="149">
        <v>1085084</v>
      </c>
      <c r="C536" s="148" t="s">
        <v>206</v>
      </c>
      <c r="D536" s="150">
        <v>57.85</v>
      </c>
      <c r="E536" s="151" t="s">
        <v>9</v>
      </c>
      <c r="F536" s="152">
        <v>1</v>
      </c>
      <c r="G536" s="152">
        <v>10</v>
      </c>
    </row>
    <row r="537" spans="1:7" ht="15.75" x14ac:dyDescent="0.3">
      <c r="A537" s="148" t="s">
        <v>69</v>
      </c>
      <c r="B537" s="149">
        <v>1008674</v>
      </c>
      <c r="C537" s="148" t="s">
        <v>207</v>
      </c>
      <c r="D537" s="150">
        <v>3.96</v>
      </c>
      <c r="E537" s="151" t="s">
        <v>9</v>
      </c>
      <c r="F537" s="152">
        <v>5</v>
      </c>
      <c r="G537" s="152">
        <v>100</v>
      </c>
    </row>
    <row r="538" spans="1:7" ht="15.75" x14ac:dyDescent="0.3">
      <c r="A538" s="148" t="s">
        <v>69</v>
      </c>
      <c r="B538" s="149">
        <v>1008675</v>
      </c>
      <c r="C538" s="148" t="s">
        <v>208</v>
      </c>
      <c r="D538" s="150">
        <v>4.5999999999999996</v>
      </c>
      <c r="E538" s="151" t="s">
        <v>9</v>
      </c>
      <c r="F538" s="152">
        <v>5</v>
      </c>
      <c r="G538" s="152">
        <v>40</v>
      </c>
    </row>
    <row r="539" spans="1:7" ht="15.75" x14ac:dyDescent="0.3">
      <c r="A539" s="148" t="s">
        <v>69</v>
      </c>
      <c r="B539" s="149">
        <v>1008676</v>
      </c>
      <c r="C539" s="148" t="s">
        <v>209</v>
      </c>
      <c r="D539" s="150">
        <v>4.5999999999999996</v>
      </c>
      <c r="E539" s="151" t="s">
        <v>9</v>
      </c>
      <c r="F539" s="152">
        <v>5</v>
      </c>
      <c r="G539" s="152">
        <v>40</v>
      </c>
    </row>
    <row r="540" spans="1:7" ht="15.75" x14ac:dyDescent="0.3">
      <c r="A540" s="148" t="s">
        <v>69</v>
      </c>
      <c r="B540" s="149">
        <v>1001240</v>
      </c>
      <c r="C540" s="148" t="s">
        <v>210</v>
      </c>
      <c r="D540" s="150">
        <v>8.49</v>
      </c>
      <c r="E540" s="151" t="s">
        <v>9</v>
      </c>
      <c r="F540" s="152">
        <v>1</v>
      </c>
      <c r="G540" s="152">
        <v>20</v>
      </c>
    </row>
    <row r="541" spans="1:7" ht="15.75" x14ac:dyDescent="0.3">
      <c r="A541" s="148" t="s">
        <v>69</v>
      </c>
      <c r="B541" s="149">
        <v>1008678</v>
      </c>
      <c r="C541" s="148" t="s">
        <v>211</v>
      </c>
      <c r="D541" s="150">
        <v>14.95</v>
      </c>
      <c r="E541" s="151" t="s">
        <v>9</v>
      </c>
      <c r="F541" s="152">
        <v>1</v>
      </c>
      <c r="G541" s="152">
        <v>10</v>
      </c>
    </row>
    <row r="542" spans="1:7" ht="15.75" x14ac:dyDescent="0.3">
      <c r="A542" s="148" t="s">
        <v>69</v>
      </c>
      <c r="B542" s="149">
        <v>1042879</v>
      </c>
      <c r="C542" s="148" t="s">
        <v>212</v>
      </c>
      <c r="D542" s="150">
        <v>32.450000000000003</v>
      </c>
      <c r="E542" s="151" t="s">
        <v>9</v>
      </c>
      <c r="F542" s="152">
        <v>1</v>
      </c>
      <c r="G542" s="152">
        <v>10</v>
      </c>
    </row>
    <row r="543" spans="1:7" ht="15.75" x14ac:dyDescent="0.3">
      <c r="A543" s="148" t="s">
        <v>69</v>
      </c>
      <c r="B543" s="149">
        <v>1042867</v>
      </c>
      <c r="C543" s="148" t="s">
        <v>213</v>
      </c>
      <c r="D543" s="150">
        <v>34.43</v>
      </c>
      <c r="E543" s="151" t="s">
        <v>9</v>
      </c>
      <c r="F543" s="152">
        <v>1</v>
      </c>
      <c r="G543" s="152">
        <v>10</v>
      </c>
    </row>
    <row r="544" spans="1:7" ht="15.75" x14ac:dyDescent="0.3">
      <c r="A544" s="148" t="s">
        <v>69</v>
      </c>
      <c r="B544" s="149">
        <v>1042878</v>
      </c>
      <c r="C544" s="148" t="s">
        <v>214</v>
      </c>
      <c r="D544" s="150">
        <v>87.05</v>
      </c>
      <c r="E544" s="151" t="s">
        <v>9</v>
      </c>
      <c r="F544" s="152">
        <v>1</v>
      </c>
      <c r="G544" s="152">
        <v>5</v>
      </c>
    </row>
    <row r="545" spans="1:7" ht="15.75" x14ac:dyDescent="0.3">
      <c r="A545" s="148" t="s">
        <v>69</v>
      </c>
      <c r="B545" s="149">
        <v>1042877</v>
      </c>
      <c r="C545" s="148" t="s">
        <v>215</v>
      </c>
      <c r="D545" s="150">
        <v>94.95</v>
      </c>
      <c r="E545" s="151" t="s">
        <v>9</v>
      </c>
      <c r="F545" s="152">
        <v>1</v>
      </c>
      <c r="G545" s="152">
        <v>5</v>
      </c>
    </row>
    <row r="546" spans="1:7" ht="15.75" x14ac:dyDescent="0.3">
      <c r="A546" s="148" t="s">
        <v>69</v>
      </c>
      <c r="B546" s="149">
        <v>1085085</v>
      </c>
      <c r="C546" s="148" t="s">
        <v>217</v>
      </c>
      <c r="D546" s="150">
        <v>98.7</v>
      </c>
      <c r="E546" s="151" t="s">
        <v>9</v>
      </c>
      <c r="F546" s="152">
        <v>1</v>
      </c>
      <c r="G546" s="152">
        <v>10</v>
      </c>
    </row>
    <row r="547" spans="1:7" ht="15.75" x14ac:dyDescent="0.3">
      <c r="A547" s="148" t="s">
        <v>69</v>
      </c>
      <c r="B547" s="149">
        <v>1085086</v>
      </c>
      <c r="C547" s="148" t="s">
        <v>216</v>
      </c>
      <c r="D547" s="150">
        <v>98.7</v>
      </c>
      <c r="E547" s="151" t="s">
        <v>9</v>
      </c>
      <c r="F547" s="152">
        <v>1</v>
      </c>
      <c r="G547" s="152">
        <v>10</v>
      </c>
    </row>
    <row r="548" spans="1:7" ht="15.75" x14ac:dyDescent="0.3">
      <c r="A548" s="148" t="s">
        <v>69</v>
      </c>
      <c r="B548" s="149">
        <v>1008684</v>
      </c>
      <c r="C548" s="148" t="s">
        <v>933</v>
      </c>
      <c r="D548" s="150">
        <v>3.32</v>
      </c>
      <c r="E548" s="151" t="s">
        <v>9</v>
      </c>
      <c r="F548" s="152">
        <v>5</v>
      </c>
      <c r="G548" s="152">
        <v>60</v>
      </c>
    </row>
    <row r="549" spans="1:7" ht="15.75" x14ac:dyDescent="0.3">
      <c r="A549" s="148" t="s">
        <v>69</v>
      </c>
      <c r="B549" s="149">
        <v>1008685</v>
      </c>
      <c r="C549" s="148" t="s">
        <v>934</v>
      </c>
      <c r="D549" s="150">
        <v>4.93</v>
      </c>
      <c r="E549" s="151" t="s">
        <v>9</v>
      </c>
      <c r="F549" s="152">
        <v>5</v>
      </c>
      <c r="G549" s="152">
        <v>30</v>
      </c>
    </row>
    <row r="550" spans="1:7" ht="15.75" x14ac:dyDescent="0.3">
      <c r="A550" s="148" t="s">
        <v>69</v>
      </c>
      <c r="B550" s="149">
        <v>1008686</v>
      </c>
      <c r="C550" s="148" t="s">
        <v>935</v>
      </c>
      <c r="D550" s="150">
        <v>7.83</v>
      </c>
      <c r="E550" s="151" t="s">
        <v>9</v>
      </c>
      <c r="F550" s="152">
        <v>5</v>
      </c>
      <c r="G550" s="152">
        <v>20</v>
      </c>
    </row>
    <row r="551" spans="1:7" ht="15.75" x14ac:dyDescent="0.3">
      <c r="A551" s="148" t="s">
        <v>69</v>
      </c>
      <c r="B551" s="149">
        <v>1001250</v>
      </c>
      <c r="C551" s="148" t="s">
        <v>936</v>
      </c>
      <c r="D551" s="150">
        <v>13.83</v>
      </c>
      <c r="E551" s="151" t="s">
        <v>9</v>
      </c>
      <c r="F551" s="152">
        <v>1</v>
      </c>
      <c r="G551" s="152">
        <v>10</v>
      </c>
    </row>
    <row r="552" spans="1:7" ht="15.75" x14ac:dyDescent="0.3">
      <c r="A552" s="148" t="s">
        <v>69</v>
      </c>
      <c r="B552" s="149">
        <v>1008688</v>
      </c>
      <c r="C552" s="148" t="s">
        <v>937</v>
      </c>
      <c r="D552" s="150">
        <v>25.52</v>
      </c>
      <c r="E552" s="151" t="s">
        <v>9</v>
      </c>
      <c r="F552" s="152">
        <v>1</v>
      </c>
      <c r="G552" s="152">
        <v>5</v>
      </c>
    </row>
    <row r="553" spans="1:7" ht="15.75" x14ac:dyDescent="0.3">
      <c r="A553" s="148" t="s">
        <v>69</v>
      </c>
      <c r="B553" s="149">
        <v>1042861</v>
      </c>
      <c r="C553" s="148" t="s">
        <v>938</v>
      </c>
      <c r="D553" s="150">
        <v>56.18</v>
      </c>
      <c r="E553" s="151" t="s">
        <v>9</v>
      </c>
      <c r="F553" s="152">
        <v>1</v>
      </c>
      <c r="G553" s="152">
        <v>3</v>
      </c>
    </row>
    <row r="554" spans="1:7" ht="15.75" x14ac:dyDescent="0.3">
      <c r="A554" s="148" t="s">
        <v>69</v>
      </c>
      <c r="B554" s="149">
        <v>1042860</v>
      </c>
      <c r="C554" s="148" t="s">
        <v>939</v>
      </c>
      <c r="D554" s="150">
        <v>85.46</v>
      </c>
      <c r="E554" s="151" t="s">
        <v>9</v>
      </c>
      <c r="F554" s="152">
        <v>1</v>
      </c>
      <c r="G554" s="152">
        <v>2</v>
      </c>
    </row>
    <row r="555" spans="1:7" ht="15.75" x14ac:dyDescent="0.3">
      <c r="A555" s="148" t="s">
        <v>69</v>
      </c>
      <c r="B555" s="149">
        <v>1085081</v>
      </c>
      <c r="C555" s="148" t="s">
        <v>940</v>
      </c>
      <c r="D555" s="150">
        <v>90.63</v>
      </c>
      <c r="E555" s="151" t="s">
        <v>9</v>
      </c>
      <c r="F555" s="152">
        <v>1</v>
      </c>
      <c r="G555" s="152">
        <v>2</v>
      </c>
    </row>
    <row r="556" spans="1:7" ht="15.75" x14ac:dyDescent="0.3">
      <c r="A556" s="148" t="s">
        <v>69</v>
      </c>
      <c r="B556" s="149">
        <v>1008710</v>
      </c>
      <c r="C556" s="148" t="s">
        <v>218</v>
      </c>
      <c r="D556" s="150">
        <v>4.95</v>
      </c>
      <c r="E556" s="151" t="s">
        <v>9</v>
      </c>
      <c r="F556" s="152">
        <v>5</v>
      </c>
      <c r="G556" s="152">
        <v>40</v>
      </c>
    </row>
    <row r="557" spans="1:7" ht="15.75" x14ac:dyDescent="0.3">
      <c r="A557" s="148" t="s">
        <v>69</v>
      </c>
      <c r="B557" s="149">
        <v>1008700</v>
      </c>
      <c r="C557" s="148" t="s">
        <v>219</v>
      </c>
      <c r="D557" s="150">
        <v>4.93</v>
      </c>
      <c r="E557" s="151" t="s">
        <v>9</v>
      </c>
      <c r="F557" s="152">
        <v>5</v>
      </c>
      <c r="G557" s="152">
        <v>40</v>
      </c>
    </row>
    <row r="558" spans="1:7" ht="15.75" x14ac:dyDescent="0.3">
      <c r="A558" s="148" t="s">
        <v>69</v>
      </c>
      <c r="B558" s="149">
        <v>1008689</v>
      </c>
      <c r="C558" s="148" t="s">
        <v>220</v>
      </c>
      <c r="D558" s="150">
        <v>4.93</v>
      </c>
      <c r="E558" s="151" t="s">
        <v>9</v>
      </c>
      <c r="F558" s="152">
        <v>5</v>
      </c>
      <c r="G558" s="152">
        <v>40</v>
      </c>
    </row>
    <row r="559" spans="1:7" ht="15.75" x14ac:dyDescent="0.3">
      <c r="A559" s="148" t="s">
        <v>69</v>
      </c>
      <c r="B559" s="149">
        <v>1008697</v>
      </c>
      <c r="C559" s="148" t="s">
        <v>221</v>
      </c>
      <c r="D559" s="150">
        <v>4.93</v>
      </c>
      <c r="E559" s="151" t="s">
        <v>9</v>
      </c>
      <c r="F559" s="152">
        <v>5</v>
      </c>
      <c r="G559" s="152">
        <v>40</v>
      </c>
    </row>
    <row r="560" spans="1:7" ht="15.75" x14ac:dyDescent="0.3">
      <c r="A560" s="148" t="s">
        <v>69</v>
      </c>
      <c r="B560" s="149">
        <v>1008711</v>
      </c>
      <c r="C560" s="148" t="s">
        <v>222</v>
      </c>
      <c r="D560" s="150">
        <v>7.83</v>
      </c>
      <c r="E560" s="151" t="s">
        <v>9</v>
      </c>
      <c r="F560" s="152">
        <v>5</v>
      </c>
      <c r="G560" s="152">
        <v>25</v>
      </c>
    </row>
    <row r="561" spans="1:7" ht="15.75" x14ac:dyDescent="0.3">
      <c r="A561" s="148" t="s">
        <v>69</v>
      </c>
      <c r="B561" s="149">
        <v>1008702</v>
      </c>
      <c r="C561" s="148" t="s">
        <v>223</v>
      </c>
      <c r="D561" s="150">
        <v>7.83</v>
      </c>
      <c r="E561" s="151" t="s">
        <v>9</v>
      </c>
      <c r="F561" s="152">
        <v>5</v>
      </c>
      <c r="G561" s="152">
        <v>25</v>
      </c>
    </row>
    <row r="562" spans="1:7" ht="15.75" x14ac:dyDescent="0.3">
      <c r="A562" s="148" t="s">
        <v>69</v>
      </c>
      <c r="B562" s="149">
        <v>1008699</v>
      </c>
      <c r="C562" s="148" t="s">
        <v>224</v>
      </c>
      <c r="D562" s="150">
        <v>7.83</v>
      </c>
      <c r="E562" s="151" t="s">
        <v>9</v>
      </c>
      <c r="F562" s="152">
        <v>5</v>
      </c>
      <c r="G562" s="152">
        <v>25</v>
      </c>
    </row>
    <row r="563" spans="1:7" ht="15.75" x14ac:dyDescent="0.3">
      <c r="A563" s="148" t="s">
        <v>69</v>
      </c>
      <c r="B563" s="149">
        <v>1008690</v>
      </c>
      <c r="C563" s="148" t="s">
        <v>225</v>
      </c>
      <c r="D563" s="150">
        <v>7.83</v>
      </c>
      <c r="E563" s="151" t="s">
        <v>9</v>
      </c>
      <c r="F563" s="152">
        <v>5</v>
      </c>
      <c r="G563" s="152">
        <v>25</v>
      </c>
    </row>
    <row r="564" spans="1:7" ht="15.75" x14ac:dyDescent="0.3">
      <c r="A564" s="148" t="s">
        <v>69</v>
      </c>
      <c r="B564" s="149">
        <v>1008701</v>
      </c>
      <c r="C564" s="148" t="s">
        <v>226</v>
      </c>
      <c r="D564" s="150">
        <v>7.83</v>
      </c>
      <c r="E564" s="151" t="s">
        <v>9</v>
      </c>
      <c r="F564" s="152">
        <v>5</v>
      </c>
      <c r="G564" s="152">
        <v>25</v>
      </c>
    </row>
    <row r="565" spans="1:7" ht="15.75" x14ac:dyDescent="0.3">
      <c r="A565" s="148" t="s">
        <v>69</v>
      </c>
      <c r="B565" s="149">
        <v>1008703</v>
      </c>
      <c r="C565" s="148" t="s">
        <v>227</v>
      </c>
      <c r="D565" s="150">
        <v>7.83</v>
      </c>
      <c r="E565" s="151" t="s">
        <v>9</v>
      </c>
      <c r="F565" s="152">
        <v>5</v>
      </c>
      <c r="G565" s="152">
        <v>25</v>
      </c>
    </row>
    <row r="566" spans="1:7" ht="15.75" x14ac:dyDescent="0.3">
      <c r="A566" s="148" t="s">
        <v>69</v>
      </c>
      <c r="B566" s="149">
        <v>1008691</v>
      </c>
      <c r="C566" s="148" t="s">
        <v>228</v>
      </c>
      <c r="D566" s="150">
        <v>7.83</v>
      </c>
      <c r="E566" s="151" t="s">
        <v>9</v>
      </c>
      <c r="F566" s="152">
        <v>5</v>
      </c>
      <c r="G566" s="152">
        <v>20</v>
      </c>
    </row>
    <row r="567" spans="1:7" ht="15.75" x14ac:dyDescent="0.3">
      <c r="A567" s="148" t="s">
        <v>69</v>
      </c>
      <c r="B567" s="149">
        <v>1001420</v>
      </c>
      <c r="C567" s="148" t="s">
        <v>229</v>
      </c>
      <c r="D567" s="150">
        <v>7.83</v>
      </c>
      <c r="E567" s="151" t="s">
        <v>9</v>
      </c>
      <c r="F567" s="152">
        <v>5</v>
      </c>
      <c r="G567" s="152">
        <v>20</v>
      </c>
    </row>
    <row r="568" spans="1:7" ht="15.75" x14ac:dyDescent="0.3">
      <c r="A568" s="148" t="s">
        <v>69</v>
      </c>
      <c r="B568" s="149">
        <v>1008712</v>
      </c>
      <c r="C568" s="148" t="s">
        <v>230</v>
      </c>
      <c r="D568" s="150">
        <v>13.44</v>
      </c>
      <c r="E568" s="151" t="s">
        <v>9</v>
      </c>
      <c r="F568" s="152">
        <v>1</v>
      </c>
      <c r="G568" s="152">
        <v>15</v>
      </c>
    </row>
    <row r="569" spans="1:7" ht="15.75" x14ac:dyDescent="0.3">
      <c r="A569" s="148" t="s">
        <v>69</v>
      </c>
      <c r="B569" s="149">
        <v>1001422</v>
      </c>
      <c r="C569" s="148" t="s">
        <v>231</v>
      </c>
      <c r="D569" s="150">
        <v>13.44</v>
      </c>
      <c r="E569" s="151" t="s">
        <v>9</v>
      </c>
      <c r="F569" s="152">
        <v>1</v>
      </c>
      <c r="G569" s="152">
        <v>15</v>
      </c>
    </row>
    <row r="570" spans="1:7" ht="15.75" x14ac:dyDescent="0.3">
      <c r="A570" s="148" t="s">
        <v>69</v>
      </c>
      <c r="B570" s="149">
        <v>1001424</v>
      </c>
      <c r="C570" s="148" t="s">
        <v>232</v>
      </c>
      <c r="D570" s="150">
        <v>13.44</v>
      </c>
      <c r="E570" s="151" t="s">
        <v>9</v>
      </c>
      <c r="F570" s="152">
        <v>1</v>
      </c>
      <c r="G570" s="152">
        <v>15</v>
      </c>
    </row>
    <row r="571" spans="1:7" ht="15.75" x14ac:dyDescent="0.3">
      <c r="A571" s="148" t="s">
        <v>69</v>
      </c>
      <c r="B571" s="149">
        <v>1008704</v>
      </c>
      <c r="C571" s="148" t="s">
        <v>233</v>
      </c>
      <c r="D571" s="150">
        <v>13.44</v>
      </c>
      <c r="E571" s="151" t="s">
        <v>9</v>
      </c>
      <c r="F571" s="152">
        <v>1</v>
      </c>
      <c r="G571" s="152">
        <v>15</v>
      </c>
    </row>
    <row r="572" spans="1:7" ht="15.75" x14ac:dyDescent="0.3">
      <c r="A572" s="148" t="s">
        <v>69</v>
      </c>
      <c r="B572" s="149">
        <v>1001426</v>
      </c>
      <c r="C572" s="148" t="s">
        <v>234</v>
      </c>
      <c r="D572" s="150">
        <v>13.44</v>
      </c>
      <c r="E572" s="151" t="s">
        <v>9</v>
      </c>
      <c r="F572" s="152">
        <v>1</v>
      </c>
      <c r="G572" s="152">
        <v>15</v>
      </c>
    </row>
    <row r="573" spans="1:7" ht="15.75" x14ac:dyDescent="0.3">
      <c r="A573" s="148" t="s">
        <v>69</v>
      </c>
      <c r="B573" s="149">
        <v>1001428</v>
      </c>
      <c r="C573" s="148" t="s">
        <v>235</v>
      </c>
      <c r="D573" s="150">
        <v>13.44</v>
      </c>
      <c r="E573" s="151" t="s">
        <v>9</v>
      </c>
      <c r="F573" s="152">
        <v>1</v>
      </c>
      <c r="G573" s="152">
        <v>15</v>
      </c>
    </row>
    <row r="574" spans="1:7" ht="15.75" x14ac:dyDescent="0.3">
      <c r="A574" s="148" t="s">
        <v>69</v>
      </c>
      <c r="B574" s="149">
        <v>1008713</v>
      </c>
      <c r="C574" s="148" t="s">
        <v>236</v>
      </c>
      <c r="D574" s="150">
        <v>32.450000000000003</v>
      </c>
      <c r="E574" s="151" t="s">
        <v>9</v>
      </c>
      <c r="F574" s="152">
        <v>1</v>
      </c>
      <c r="G574" s="152">
        <v>10</v>
      </c>
    </row>
    <row r="575" spans="1:7" ht="15.75" x14ac:dyDescent="0.3">
      <c r="A575" s="148" t="s">
        <v>69</v>
      </c>
      <c r="B575" s="149">
        <v>1008707</v>
      </c>
      <c r="C575" s="148" t="s">
        <v>237</v>
      </c>
      <c r="D575" s="150">
        <v>32.450000000000003</v>
      </c>
      <c r="E575" s="151" t="s">
        <v>9</v>
      </c>
      <c r="F575" s="152">
        <v>1</v>
      </c>
      <c r="G575" s="152">
        <v>5</v>
      </c>
    </row>
    <row r="576" spans="1:7" ht="15.75" x14ac:dyDescent="0.3">
      <c r="A576" s="148" t="s">
        <v>69</v>
      </c>
      <c r="B576" s="149">
        <v>1008694</v>
      </c>
      <c r="C576" s="148" t="s">
        <v>238</v>
      </c>
      <c r="D576" s="150">
        <v>32.450000000000003</v>
      </c>
      <c r="E576" s="151" t="s">
        <v>9</v>
      </c>
      <c r="F576" s="152">
        <v>1</v>
      </c>
      <c r="G576" s="152">
        <v>5</v>
      </c>
    </row>
    <row r="577" spans="1:7" ht="15.75" x14ac:dyDescent="0.3">
      <c r="A577" s="148" t="s">
        <v>69</v>
      </c>
      <c r="B577" s="149">
        <v>1008708</v>
      </c>
      <c r="C577" s="148" t="s">
        <v>239</v>
      </c>
      <c r="D577" s="150">
        <v>32.450000000000003</v>
      </c>
      <c r="E577" s="151" t="s">
        <v>9</v>
      </c>
      <c r="F577" s="152">
        <v>1</v>
      </c>
      <c r="G577" s="152">
        <v>5</v>
      </c>
    </row>
    <row r="578" spans="1:7" ht="15.75" x14ac:dyDescent="0.3">
      <c r="A578" s="148" t="s">
        <v>69</v>
      </c>
      <c r="B578" s="149">
        <v>1008695</v>
      </c>
      <c r="C578" s="148" t="s">
        <v>240</v>
      </c>
      <c r="D578" s="150">
        <v>32.450000000000003</v>
      </c>
      <c r="E578" s="151" t="s">
        <v>9</v>
      </c>
      <c r="F578" s="152">
        <v>1</v>
      </c>
      <c r="G578" s="152">
        <v>5</v>
      </c>
    </row>
    <row r="579" spans="1:7" ht="15.75" x14ac:dyDescent="0.3">
      <c r="A579" s="148" t="s">
        <v>69</v>
      </c>
      <c r="B579" s="149">
        <v>1008709</v>
      </c>
      <c r="C579" s="148" t="s">
        <v>241</v>
      </c>
      <c r="D579" s="150">
        <v>32.450000000000003</v>
      </c>
      <c r="E579" s="151" t="s">
        <v>9</v>
      </c>
      <c r="F579" s="152">
        <v>1</v>
      </c>
      <c r="G579" s="152">
        <v>5</v>
      </c>
    </row>
    <row r="580" spans="1:7" ht="15.75" x14ac:dyDescent="0.3">
      <c r="A580" s="148" t="s">
        <v>69</v>
      </c>
      <c r="B580" s="149">
        <v>1008696</v>
      </c>
      <c r="C580" s="148" t="s">
        <v>242</v>
      </c>
      <c r="D580" s="150">
        <v>35.619999999999997</v>
      </c>
      <c r="E580" s="151" t="s">
        <v>9</v>
      </c>
      <c r="F580" s="152">
        <v>1</v>
      </c>
      <c r="G580" s="152">
        <v>5</v>
      </c>
    </row>
    <row r="581" spans="1:7" ht="15.75" x14ac:dyDescent="0.3">
      <c r="A581" s="148" t="s">
        <v>69</v>
      </c>
      <c r="B581" s="149">
        <v>1042876</v>
      </c>
      <c r="C581" s="148" t="s">
        <v>243</v>
      </c>
      <c r="D581" s="150">
        <v>71.23</v>
      </c>
      <c r="E581" s="151" t="s">
        <v>9</v>
      </c>
      <c r="F581" s="152">
        <v>1</v>
      </c>
      <c r="G581" s="152">
        <v>4</v>
      </c>
    </row>
    <row r="582" spans="1:7" ht="15.75" x14ac:dyDescent="0.3">
      <c r="A582" s="148" t="s">
        <v>69</v>
      </c>
      <c r="B582" s="149">
        <v>1042864</v>
      </c>
      <c r="C582" s="148" t="s">
        <v>244</v>
      </c>
      <c r="D582" s="150">
        <v>71.23</v>
      </c>
      <c r="E582" s="151" t="s">
        <v>9</v>
      </c>
      <c r="F582" s="152">
        <v>1</v>
      </c>
      <c r="G582" s="152">
        <v>4</v>
      </c>
    </row>
    <row r="583" spans="1:7" ht="15.75" x14ac:dyDescent="0.3">
      <c r="A583" s="148" t="s">
        <v>69</v>
      </c>
      <c r="B583" s="149">
        <v>1042863</v>
      </c>
      <c r="C583" s="148" t="s">
        <v>245</v>
      </c>
      <c r="D583" s="150">
        <v>71.23</v>
      </c>
      <c r="E583" s="151" t="s">
        <v>9</v>
      </c>
      <c r="F583" s="152">
        <v>1</v>
      </c>
      <c r="G583" s="152">
        <v>4</v>
      </c>
    </row>
    <row r="584" spans="1:7" ht="15.75" x14ac:dyDescent="0.3">
      <c r="A584" s="148" t="s">
        <v>69</v>
      </c>
      <c r="B584" s="149">
        <v>1042862</v>
      </c>
      <c r="C584" s="148" t="s">
        <v>246</v>
      </c>
      <c r="D584" s="150">
        <v>75.22</v>
      </c>
      <c r="E584" s="151" t="s">
        <v>9</v>
      </c>
      <c r="F584" s="152">
        <v>1</v>
      </c>
      <c r="G584" s="152">
        <v>4</v>
      </c>
    </row>
    <row r="585" spans="1:7" ht="15.75" x14ac:dyDescent="0.3">
      <c r="A585" s="148" t="s">
        <v>69</v>
      </c>
      <c r="B585" s="149">
        <v>1042875</v>
      </c>
      <c r="C585" s="148" t="s">
        <v>247</v>
      </c>
      <c r="D585" s="150">
        <v>79.150000000000006</v>
      </c>
      <c r="E585" s="151" t="s">
        <v>9</v>
      </c>
      <c r="F585" s="152">
        <v>1</v>
      </c>
      <c r="G585" s="152">
        <v>4</v>
      </c>
    </row>
    <row r="586" spans="1:7" ht="15.75" x14ac:dyDescent="0.3">
      <c r="A586" s="148" t="s">
        <v>69</v>
      </c>
      <c r="B586" s="149">
        <v>1042871</v>
      </c>
      <c r="C586" s="148" t="s">
        <v>248</v>
      </c>
      <c r="D586" s="150">
        <v>106.83</v>
      </c>
      <c r="E586" s="151" t="s">
        <v>9</v>
      </c>
      <c r="F586" s="152">
        <v>1</v>
      </c>
      <c r="G586" s="152">
        <v>2</v>
      </c>
    </row>
    <row r="587" spans="1:7" ht="15.75" x14ac:dyDescent="0.3">
      <c r="A587" s="148" t="s">
        <v>69</v>
      </c>
      <c r="B587" s="149">
        <v>1042873</v>
      </c>
      <c r="C587" s="148" t="s">
        <v>249</v>
      </c>
      <c r="D587" s="150">
        <v>106.83</v>
      </c>
      <c r="E587" s="151" t="s">
        <v>9</v>
      </c>
      <c r="F587" s="152">
        <v>1</v>
      </c>
      <c r="G587" s="152">
        <v>2</v>
      </c>
    </row>
    <row r="588" spans="1:7" ht="15.75" x14ac:dyDescent="0.3">
      <c r="A588" s="148" t="s">
        <v>69</v>
      </c>
      <c r="B588" s="149">
        <v>1042870</v>
      </c>
      <c r="C588" s="148" t="s">
        <v>250</v>
      </c>
      <c r="D588" s="150">
        <v>106.83</v>
      </c>
      <c r="E588" s="151" t="s">
        <v>9</v>
      </c>
      <c r="F588" s="152">
        <v>1</v>
      </c>
      <c r="G588" s="152">
        <v>2</v>
      </c>
    </row>
    <row r="589" spans="1:7" ht="15.75" x14ac:dyDescent="0.3">
      <c r="A589" s="148" t="s">
        <v>69</v>
      </c>
      <c r="B589" s="149">
        <v>1042869</v>
      </c>
      <c r="C589" s="148" t="s">
        <v>251</v>
      </c>
      <c r="D589" s="150">
        <v>106.83</v>
      </c>
      <c r="E589" s="151" t="s">
        <v>9</v>
      </c>
      <c r="F589" s="152">
        <v>1</v>
      </c>
      <c r="G589" s="152">
        <v>2</v>
      </c>
    </row>
    <row r="590" spans="1:7" ht="15.75" x14ac:dyDescent="0.3">
      <c r="A590" s="148" t="s">
        <v>69</v>
      </c>
      <c r="B590" s="149">
        <v>1042872</v>
      </c>
      <c r="C590" s="148" t="s">
        <v>252</v>
      </c>
      <c r="D590" s="150">
        <v>106.83</v>
      </c>
      <c r="E590" s="151" t="s">
        <v>9</v>
      </c>
      <c r="F590" s="152">
        <v>1</v>
      </c>
      <c r="G590" s="152">
        <v>2</v>
      </c>
    </row>
    <row r="591" spans="1:7" ht="15.75" x14ac:dyDescent="0.3">
      <c r="A591" s="148" t="s">
        <v>69</v>
      </c>
      <c r="B591" s="149">
        <v>1042874</v>
      </c>
      <c r="C591" s="148" t="s">
        <v>254</v>
      </c>
      <c r="D591" s="150">
        <v>106.83</v>
      </c>
      <c r="E591" s="151" t="s">
        <v>9</v>
      </c>
      <c r="F591" s="152">
        <v>1</v>
      </c>
      <c r="G591" s="152">
        <v>2</v>
      </c>
    </row>
    <row r="592" spans="1:7" ht="15.75" x14ac:dyDescent="0.3">
      <c r="A592" s="148" t="s">
        <v>69</v>
      </c>
      <c r="B592" s="149">
        <v>1042868</v>
      </c>
      <c r="C592" s="148" t="s">
        <v>253</v>
      </c>
      <c r="D592" s="150">
        <v>106.83</v>
      </c>
      <c r="E592" s="151" t="s">
        <v>9</v>
      </c>
      <c r="F592" s="152">
        <v>1</v>
      </c>
      <c r="G592" s="152">
        <v>2</v>
      </c>
    </row>
    <row r="593" spans="1:7" ht="15.75" x14ac:dyDescent="0.3">
      <c r="A593" s="148" t="s">
        <v>69</v>
      </c>
      <c r="B593" s="149">
        <v>1085082</v>
      </c>
      <c r="C593" s="148" t="s">
        <v>256</v>
      </c>
      <c r="D593" s="150">
        <v>126.65</v>
      </c>
      <c r="E593" s="151" t="s">
        <v>9</v>
      </c>
      <c r="F593" s="152">
        <v>1</v>
      </c>
      <c r="G593" s="152">
        <v>4</v>
      </c>
    </row>
    <row r="594" spans="1:7" ht="15.75" x14ac:dyDescent="0.3">
      <c r="A594" s="148" t="s">
        <v>69</v>
      </c>
      <c r="B594" s="149">
        <v>1085083</v>
      </c>
      <c r="C594" s="148" t="s">
        <v>255</v>
      </c>
      <c r="D594" s="150">
        <v>126.65</v>
      </c>
      <c r="E594" s="151" t="s">
        <v>9</v>
      </c>
      <c r="F594" s="152">
        <v>1</v>
      </c>
      <c r="G594" s="152">
        <v>4</v>
      </c>
    </row>
    <row r="595" spans="1:7" ht="15.75" x14ac:dyDescent="0.3">
      <c r="A595" s="148" t="s">
        <v>69</v>
      </c>
      <c r="B595" s="149">
        <v>1023027</v>
      </c>
      <c r="C595" s="148" t="s">
        <v>941</v>
      </c>
      <c r="D595" s="150">
        <v>33.03</v>
      </c>
      <c r="E595" s="151" t="s">
        <v>9</v>
      </c>
      <c r="F595" s="152">
        <v>1</v>
      </c>
      <c r="G595" s="152">
        <v>20</v>
      </c>
    </row>
    <row r="596" spans="1:7" ht="15.75" x14ac:dyDescent="0.3">
      <c r="A596" s="148" t="s">
        <v>69</v>
      </c>
      <c r="B596" s="149">
        <v>1023028</v>
      </c>
      <c r="C596" s="148" t="s">
        <v>942</v>
      </c>
      <c r="D596" s="150">
        <v>40.19</v>
      </c>
      <c r="E596" s="151" t="s">
        <v>9</v>
      </c>
      <c r="F596" s="152">
        <v>1</v>
      </c>
      <c r="G596" s="152">
        <v>15</v>
      </c>
    </row>
    <row r="597" spans="1:7" ht="15.75" x14ac:dyDescent="0.3">
      <c r="A597" s="148" t="s">
        <v>69</v>
      </c>
      <c r="B597" s="149">
        <v>1023029</v>
      </c>
      <c r="C597" s="148" t="s">
        <v>943</v>
      </c>
      <c r="D597" s="150">
        <v>44.52</v>
      </c>
      <c r="E597" s="151" t="s">
        <v>9</v>
      </c>
      <c r="F597" s="152">
        <v>1</v>
      </c>
      <c r="G597" s="152">
        <v>10</v>
      </c>
    </row>
    <row r="598" spans="1:7" ht="15.75" x14ac:dyDescent="0.3">
      <c r="A598" s="148" t="s">
        <v>69</v>
      </c>
      <c r="B598" s="149">
        <v>1048520</v>
      </c>
      <c r="C598" s="148" t="s">
        <v>944</v>
      </c>
      <c r="D598" s="150">
        <v>51.43</v>
      </c>
      <c r="E598" s="151" t="s">
        <v>9</v>
      </c>
      <c r="F598" s="152">
        <v>1</v>
      </c>
      <c r="G598" s="152">
        <v>32</v>
      </c>
    </row>
    <row r="599" spans="1:7" ht="15.75" x14ac:dyDescent="0.3">
      <c r="A599" s="148" t="s">
        <v>69</v>
      </c>
      <c r="B599" s="149">
        <v>1048521</v>
      </c>
      <c r="C599" s="148" t="s">
        <v>945</v>
      </c>
      <c r="D599" s="150">
        <v>71.23</v>
      </c>
      <c r="E599" s="151" t="s">
        <v>9</v>
      </c>
      <c r="F599" s="152">
        <v>1</v>
      </c>
      <c r="G599" s="152">
        <v>32</v>
      </c>
    </row>
    <row r="600" spans="1:7" ht="15.75" x14ac:dyDescent="0.3">
      <c r="A600" s="148" t="s">
        <v>69</v>
      </c>
      <c r="B600" s="149">
        <v>1048522</v>
      </c>
      <c r="C600" s="148" t="s">
        <v>946</v>
      </c>
      <c r="D600" s="150">
        <v>91</v>
      </c>
      <c r="E600" s="151" t="s">
        <v>9</v>
      </c>
      <c r="F600" s="152">
        <v>1</v>
      </c>
      <c r="G600" s="152">
        <v>24</v>
      </c>
    </row>
    <row r="601" spans="1:7" ht="15.75" x14ac:dyDescent="0.3">
      <c r="A601" s="148" t="s">
        <v>69</v>
      </c>
      <c r="B601" s="149">
        <v>1023003</v>
      </c>
      <c r="C601" s="148" t="s">
        <v>257</v>
      </c>
      <c r="D601" s="150">
        <v>4.95</v>
      </c>
      <c r="E601" s="151" t="s">
        <v>9</v>
      </c>
      <c r="F601" s="152">
        <v>5</v>
      </c>
      <c r="G601" s="152">
        <v>100</v>
      </c>
    </row>
    <row r="602" spans="1:7" ht="15.75" x14ac:dyDescent="0.3">
      <c r="A602" s="148" t="s">
        <v>69</v>
      </c>
      <c r="B602" s="149">
        <v>1023004</v>
      </c>
      <c r="C602" s="148" t="s">
        <v>258</v>
      </c>
      <c r="D602" s="150">
        <v>9.92</v>
      </c>
      <c r="E602" s="151" t="s">
        <v>9</v>
      </c>
      <c r="F602" s="152">
        <v>5</v>
      </c>
      <c r="G602" s="152">
        <v>80</v>
      </c>
    </row>
    <row r="603" spans="1:7" ht="15.75" x14ac:dyDescent="0.3">
      <c r="A603" s="148" t="s">
        <v>69</v>
      </c>
      <c r="B603" s="149">
        <v>1023005</v>
      </c>
      <c r="C603" s="148" t="s">
        <v>259</v>
      </c>
      <c r="D603" s="150">
        <v>10.37</v>
      </c>
      <c r="E603" s="151" t="s">
        <v>9</v>
      </c>
      <c r="F603" s="152">
        <v>5</v>
      </c>
      <c r="G603" s="152">
        <v>100</v>
      </c>
    </row>
    <row r="604" spans="1:7" ht="15.75" x14ac:dyDescent="0.3">
      <c r="A604" s="148" t="s">
        <v>69</v>
      </c>
      <c r="B604" s="149">
        <v>1023006</v>
      </c>
      <c r="C604" s="148" t="s">
        <v>260</v>
      </c>
      <c r="D604" s="150">
        <v>10.37</v>
      </c>
      <c r="E604" s="151" t="s">
        <v>9</v>
      </c>
      <c r="F604" s="152">
        <v>5</v>
      </c>
      <c r="G604" s="152">
        <v>70</v>
      </c>
    </row>
    <row r="605" spans="1:7" ht="15.75" x14ac:dyDescent="0.3">
      <c r="A605" s="148" t="s">
        <v>69</v>
      </c>
      <c r="B605" s="149">
        <v>1023007</v>
      </c>
      <c r="C605" s="148" t="s">
        <v>261</v>
      </c>
      <c r="D605" s="150">
        <v>11.9</v>
      </c>
      <c r="E605" s="151" t="s">
        <v>9</v>
      </c>
      <c r="F605" s="152">
        <v>5</v>
      </c>
      <c r="G605" s="152">
        <v>70</v>
      </c>
    </row>
    <row r="606" spans="1:7" ht="15.75" x14ac:dyDescent="0.3">
      <c r="A606" s="148" t="s">
        <v>69</v>
      </c>
      <c r="B606" s="149">
        <v>1023008</v>
      </c>
      <c r="C606" s="148" t="s">
        <v>262</v>
      </c>
      <c r="D606" s="150">
        <v>16.91</v>
      </c>
      <c r="E606" s="151" t="s">
        <v>9</v>
      </c>
      <c r="F606" s="152">
        <v>5</v>
      </c>
      <c r="G606" s="152">
        <v>40</v>
      </c>
    </row>
    <row r="607" spans="1:7" ht="15.75" x14ac:dyDescent="0.3">
      <c r="A607" s="148" t="s">
        <v>69</v>
      </c>
      <c r="B607" s="149">
        <v>1047191</v>
      </c>
      <c r="C607" s="148" t="s">
        <v>263</v>
      </c>
      <c r="D607" s="150">
        <v>24.25</v>
      </c>
      <c r="E607" s="151" t="s">
        <v>9</v>
      </c>
      <c r="F607" s="152">
        <v>1</v>
      </c>
      <c r="G607" s="152">
        <v>10</v>
      </c>
    </row>
    <row r="608" spans="1:7" ht="15.75" x14ac:dyDescent="0.3">
      <c r="A608" s="148" t="s">
        <v>69</v>
      </c>
      <c r="B608" s="149">
        <v>1085077</v>
      </c>
      <c r="C608" s="148" t="s">
        <v>264</v>
      </c>
      <c r="D608" s="150">
        <v>64.17</v>
      </c>
      <c r="E608" s="151" t="s">
        <v>9</v>
      </c>
      <c r="F608" s="152">
        <v>1</v>
      </c>
      <c r="G608" s="152">
        <v>16</v>
      </c>
    </row>
    <row r="609" spans="1:7" ht="15.75" x14ac:dyDescent="0.3">
      <c r="A609" s="148" t="s">
        <v>69</v>
      </c>
      <c r="B609" s="149">
        <v>1085076</v>
      </c>
      <c r="C609" s="148" t="s">
        <v>265</v>
      </c>
      <c r="D609" s="150">
        <v>84.49</v>
      </c>
      <c r="E609" s="151" t="s">
        <v>9</v>
      </c>
      <c r="F609" s="152">
        <v>1</v>
      </c>
      <c r="G609" s="152">
        <v>8</v>
      </c>
    </row>
    <row r="610" spans="1:7" ht="15.75" x14ac:dyDescent="0.3">
      <c r="A610" s="148" t="s">
        <v>69</v>
      </c>
      <c r="B610" s="149">
        <v>1085075</v>
      </c>
      <c r="C610" s="148" t="s">
        <v>266</v>
      </c>
      <c r="D610" s="150">
        <v>109.14</v>
      </c>
      <c r="E610" s="151" t="s">
        <v>9</v>
      </c>
      <c r="F610" s="152">
        <v>1</v>
      </c>
      <c r="G610" s="152">
        <v>6</v>
      </c>
    </row>
    <row r="611" spans="1:7" ht="15.75" x14ac:dyDescent="0.3">
      <c r="A611" s="148" t="s">
        <v>69</v>
      </c>
      <c r="B611" s="149">
        <v>1085074</v>
      </c>
      <c r="C611" s="148" t="s">
        <v>267</v>
      </c>
      <c r="D611" s="150">
        <v>192.32</v>
      </c>
      <c r="E611" s="151" t="s">
        <v>9</v>
      </c>
      <c r="F611" s="152">
        <v>1</v>
      </c>
      <c r="G611" s="152">
        <v>6</v>
      </c>
    </row>
    <row r="612" spans="1:7" ht="15.75" x14ac:dyDescent="0.3">
      <c r="A612" s="148" t="s">
        <v>69</v>
      </c>
      <c r="B612" s="149">
        <v>1033435</v>
      </c>
      <c r="C612" s="148" t="s">
        <v>268</v>
      </c>
      <c r="D612" s="150">
        <v>3.8</v>
      </c>
      <c r="E612" s="151" t="s">
        <v>9</v>
      </c>
      <c r="F612" s="152">
        <v>5</v>
      </c>
      <c r="G612" s="152">
        <v>100</v>
      </c>
    </row>
    <row r="613" spans="1:7" ht="15.75" x14ac:dyDescent="0.3">
      <c r="A613" s="148" t="s">
        <v>69</v>
      </c>
      <c r="B613" s="149">
        <v>1046424</v>
      </c>
      <c r="C613" s="148" t="s">
        <v>947</v>
      </c>
      <c r="D613" s="150">
        <v>4.72</v>
      </c>
      <c r="E613" s="151" t="s">
        <v>9</v>
      </c>
      <c r="F613" s="152">
        <v>5</v>
      </c>
      <c r="G613" s="152">
        <v>120</v>
      </c>
    </row>
    <row r="614" spans="1:7" ht="15.75" x14ac:dyDescent="0.3">
      <c r="A614" s="148" t="s">
        <v>69</v>
      </c>
      <c r="B614" s="149">
        <v>1033436</v>
      </c>
      <c r="C614" s="148" t="s">
        <v>948</v>
      </c>
      <c r="D614" s="150">
        <v>12.6</v>
      </c>
      <c r="E614" s="151" t="s">
        <v>9</v>
      </c>
      <c r="F614" s="152">
        <v>5</v>
      </c>
      <c r="G614" s="152">
        <v>80</v>
      </c>
    </row>
    <row r="615" spans="1:7" ht="15.75" x14ac:dyDescent="0.3">
      <c r="A615" s="148" t="s">
        <v>69</v>
      </c>
      <c r="B615" s="149">
        <v>1033437</v>
      </c>
      <c r="C615" s="148" t="s">
        <v>269</v>
      </c>
      <c r="D615" s="150">
        <v>5.96</v>
      </c>
      <c r="E615" s="151" t="s">
        <v>9</v>
      </c>
      <c r="F615" s="152">
        <v>5</v>
      </c>
      <c r="G615" s="152">
        <v>90</v>
      </c>
    </row>
    <row r="616" spans="1:7" ht="15.75" x14ac:dyDescent="0.3">
      <c r="A616" s="148" t="s">
        <v>69</v>
      </c>
      <c r="B616" s="149">
        <v>1033438</v>
      </c>
      <c r="C616" s="148" t="s">
        <v>270</v>
      </c>
      <c r="D616" s="150">
        <v>5.96</v>
      </c>
      <c r="E616" s="151" t="s">
        <v>9</v>
      </c>
      <c r="F616" s="152">
        <v>5</v>
      </c>
      <c r="G616" s="152">
        <v>70</v>
      </c>
    </row>
    <row r="617" spans="1:7" ht="15.75" x14ac:dyDescent="0.3">
      <c r="A617" s="148" t="s">
        <v>69</v>
      </c>
      <c r="B617" s="149">
        <v>1047862</v>
      </c>
      <c r="C617" s="148" t="s">
        <v>271</v>
      </c>
      <c r="D617" s="150">
        <v>7.67</v>
      </c>
      <c r="E617" s="151" t="s">
        <v>9</v>
      </c>
      <c r="F617" s="152">
        <v>5</v>
      </c>
      <c r="G617" s="152">
        <v>40</v>
      </c>
    </row>
    <row r="618" spans="1:7" ht="15.75" x14ac:dyDescent="0.3">
      <c r="A618" s="148" t="s">
        <v>69</v>
      </c>
      <c r="B618" s="149">
        <v>1047863</v>
      </c>
      <c r="C618" s="148" t="s">
        <v>272</v>
      </c>
      <c r="D618" s="150">
        <v>9.8800000000000008</v>
      </c>
      <c r="E618" s="151" t="s">
        <v>9</v>
      </c>
      <c r="F618" s="152">
        <v>5</v>
      </c>
      <c r="G618" s="152">
        <v>40</v>
      </c>
    </row>
    <row r="619" spans="1:7" ht="15.75" x14ac:dyDescent="0.3">
      <c r="A619" s="148" t="s">
        <v>69</v>
      </c>
      <c r="B619" s="149">
        <v>1047864</v>
      </c>
      <c r="C619" s="148" t="s">
        <v>273</v>
      </c>
      <c r="D619" s="150">
        <v>46.57</v>
      </c>
      <c r="E619" s="151" t="s">
        <v>9</v>
      </c>
      <c r="F619" s="152">
        <v>1</v>
      </c>
      <c r="G619" s="152">
        <v>8</v>
      </c>
    </row>
    <row r="620" spans="1:7" ht="15.75" x14ac:dyDescent="0.3">
      <c r="A620" s="148" t="s">
        <v>69</v>
      </c>
      <c r="B620" s="149">
        <v>1008866</v>
      </c>
      <c r="C620" s="148" t="s">
        <v>949</v>
      </c>
      <c r="D620" s="150">
        <v>51.43</v>
      </c>
      <c r="E620" s="151" t="s">
        <v>9</v>
      </c>
      <c r="F620" s="152">
        <v>1</v>
      </c>
      <c r="G620" s="152">
        <v>8</v>
      </c>
    </row>
    <row r="621" spans="1:7" ht="15.75" x14ac:dyDescent="0.3">
      <c r="A621" s="148" t="s">
        <v>69</v>
      </c>
      <c r="B621" s="149">
        <v>1008867</v>
      </c>
      <c r="C621" s="148" t="s">
        <v>950</v>
      </c>
      <c r="D621" s="150">
        <v>83.1</v>
      </c>
      <c r="E621" s="151" t="s">
        <v>9</v>
      </c>
      <c r="F621" s="152">
        <v>1</v>
      </c>
      <c r="G621" s="152">
        <v>6</v>
      </c>
    </row>
    <row r="622" spans="1:7" ht="15.75" x14ac:dyDescent="0.3">
      <c r="A622" s="148" t="s">
        <v>69</v>
      </c>
      <c r="B622" s="149">
        <v>1008730</v>
      </c>
      <c r="C622" s="148" t="s">
        <v>951</v>
      </c>
      <c r="D622" s="150">
        <v>21.54</v>
      </c>
      <c r="E622" s="151" t="s">
        <v>9</v>
      </c>
      <c r="F622" s="152">
        <v>1</v>
      </c>
      <c r="G622" s="152">
        <v>20</v>
      </c>
    </row>
    <row r="623" spans="1:7" ht="15.75" x14ac:dyDescent="0.3">
      <c r="A623" s="148" t="s">
        <v>69</v>
      </c>
      <c r="B623" s="149">
        <v>1022290</v>
      </c>
      <c r="C623" s="148" t="s">
        <v>952</v>
      </c>
      <c r="D623" s="150">
        <v>30.08</v>
      </c>
      <c r="E623" s="151" t="s">
        <v>9</v>
      </c>
      <c r="F623" s="152">
        <v>1</v>
      </c>
      <c r="G623" s="152">
        <v>16</v>
      </c>
    </row>
    <row r="624" spans="1:7" ht="15.75" x14ac:dyDescent="0.3">
      <c r="A624" s="148" t="s">
        <v>69</v>
      </c>
      <c r="B624" s="149">
        <v>1008732</v>
      </c>
      <c r="C624" s="148" t="s">
        <v>953</v>
      </c>
      <c r="D624" s="150">
        <v>30.08</v>
      </c>
      <c r="E624" s="151" t="s">
        <v>9</v>
      </c>
      <c r="F624" s="152">
        <v>1</v>
      </c>
      <c r="G624" s="152">
        <v>8</v>
      </c>
    </row>
    <row r="625" spans="1:7" ht="15.75" x14ac:dyDescent="0.3">
      <c r="A625" s="148" t="s">
        <v>69</v>
      </c>
      <c r="B625" s="149">
        <v>1023009</v>
      </c>
      <c r="C625" s="148" t="s">
        <v>274</v>
      </c>
      <c r="D625" s="150">
        <v>5.93</v>
      </c>
      <c r="E625" s="151" t="s">
        <v>9</v>
      </c>
      <c r="F625" s="152">
        <v>5</v>
      </c>
      <c r="G625" s="152">
        <v>60</v>
      </c>
    </row>
    <row r="626" spans="1:7" ht="15.75" x14ac:dyDescent="0.3">
      <c r="A626" s="148" t="s">
        <v>69</v>
      </c>
      <c r="B626" s="149">
        <v>1023010</v>
      </c>
      <c r="C626" s="148" t="s">
        <v>275</v>
      </c>
      <c r="D626" s="150">
        <v>6.48</v>
      </c>
      <c r="E626" s="151" t="s">
        <v>9</v>
      </c>
      <c r="F626" s="152">
        <v>5</v>
      </c>
      <c r="G626" s="152">
        <v>60</v>
      </c>
    </row>
    <row r="627" spans="1:7" ht="15.75" x14ac:dyDescent="0.3">
      <c r="A627" s="148" t="s">
        <v>69</v>
      </c>
      <c r="B627" s="149">
        <v>1023011</v>
      </c>
      <c r="C627" s="148" t="s">
        <v>276</v>
      </c>
      <c r="D627" s="150">
        <v>9.5</v>
      </c>
      <c r="E627" s="151" t="s">
        <v>9</v>
      </c>
      <c r="F627" s="152">
        <v>5</v>
      </c>
      <c r="G627" s="152">
        <v>40</v>
      </c>
    </row>
    <row r="628" spans="1:7" ht="15.75" x14ac:dyDescent="0.3">
      <c r="A628" s="148" t="s">
        <v>69</v>
      </c>
      <c r="B628" s="149">
        <v>1023012</v>
      </c>
      <c r="C628" s="148" t="s">
        <v>277</v>
      </c>
      <c r="D628" s="150">
        <v>13.28</v>
      </c>
      <c r="E628" s="151" t="s">
        <v>9</v>
      </c>
      <c r="F628" s="152">
        <v>5</v>
      </c>
      <c r="G628" s="152">
        <v>40</v>
      </c>
    </row>
    <row r="629" spans="1:7" ht="15.75" x14ac:dyDescent="0.3">
      <c r="A629" s="148" t="s">
        <v>69</v>
      </c>
      <c r="B629" s="149">
        <v>1023013</v>
      </c>
      <c r="C629" s="148" t="s">
        <v>278</v>
      </c>
      <c r="D629" s="150">
        <v>13.28</v>
      </c>
      <c r="E629" s="151" t="s">
        <v>9</v>
      </c>
      <c r="F629" s="152">
        <v>5</v>
      </c>
      <c r="G629" s="152">
        <v>35</v>
      </c>
    </row>
    <row r="630" spans="1:7" ht="15.75" x14ac:dyDescent="0.3">
      <c r="A630" s="148" t="s">
        <v>69</v>
      </c>
      <c r="B630" s="149">
        <v>1085078</v>
      </c>
      <c r="C630" s="148" t="s">
        <v>279</v>
      </c>
      <c r="D630" s="150">
        <v>89.57</v>
      </c>
      <c r="E630" s="151" t="s">
        <v>9</v>
      </c>
      <c r="F630" s="152">
        <v>1</v>
      </c>
      <c r="G630" s="152">
        <v>8</v>
      </c>
    </row>
    <row r="631" spans="1:7" ht="15.75" x14ac:dyDescent="0.3">
      <c r="A631" s="148" t="s">
        <v>69</v>
      </c>
      <c r="B631" s="149">
        <v>1047866</v>
      </c>
      <c r="C631" s="148" t="s">
        <v>280</v>
      </c>
      <c r="D631" s="150">
        <v>22.96</v>
      </c>
      <c r="E631" s="151" t="s">
        <v>9</v>
      </c>
      <c r="F631" s="152">
        <v>1</v>
      </c>
      <c r="G631" s="152">
        <v>20</v>
      </c>
    </row>
    <row r="632" spans="1:7" ht="15.75" x14ac:dyDescent="0.3">
      <c r="A632" s="148" t="s">
        <v>69</v>
      </c>
      <c r="B632" s="149">
        <v>1047867</v>
      </c>
      <c r="C632" s="148" t="s">
        <v>281</v>
      </c>
      <c r="D632" s="150">
        <v>46.73</v>
      </c>
      <c r="E632" s="151" t="s">
        <v>9</v>
      </c>
      <c r="F632" s="152">
        <v>1</v>
      </c>
      <c r="G632" s="152">
        <v>20</v>
      </c>
    </row>
    <row r="633" spans="1:7" ht="15.75" x14ac:dyDescent="0.3">
      <c r="A633" s="148" t="s">
        <v>69</v>
      </c>
      <c r="B633" s="149">
        <v>1023019</v>
      </c>
      <c r="C633" s="148" t="s">
        <v>282</v>
      </c>
      <c r="D633" s="150">
        <v>7.83</v>
      </c>
      <c r="E633" s="151" t="s">
        <v>9</v>
      </c>
      <c r="F633" s="152">
        <v>5</v>
      </c>
      <c r="G633" s="152">
        <v>80</v>
      </c>
    </row>
    <row r="634" spans="1:7" ht="15.75" x14ac:dyDescent="0.3">
      <c r="A634" s="148" t="s">
        <v>69</v>
      </c>
      <c r="B634" s="149">
        <v>1023020</v>
      </c>
      <c r="C634" s="148" t="s">
        <v>283</v>
      </c>
      <c r="D634" s="150">
        <v>9.8699999999999992</v>
      </c>
      <c r="E634" s="151" t="s">
        <v>9</v>
      </c>
      <c r="F634" s="152">
        <v>5</v>
      </c>
      <c r="G634" s="152">
        <v>50</v>
      </c>
    </row>
    <row r="635" spans="1:7" ht="15.75" x14ac:dyDescent="0.3">
      <c r="A635" s="148" t="s">
        <v>69</v>
      </c>
      <c r="B635" s="149">
        <v>1023021</v>
      </c>
      <c r="C635" s="148" t="s">
        <v>284</v>
      </c>
      <c r="D635" s="150">
        <v>9.8699999999999992</v>
      </c>
      <c r="E635" s="151" t="s">
        <v>9</v>
      </c>
      <c r="F635" s="152">
        <v>5</v>
      </c>
      <c r="G635" s="152">
        <v>40</v>
      </c>
    </row>
    <row r="636" spans="1:7" ht="15.75" x14ac:dyDescent="0.3">
      <c r="A636" s="148" t="s">
        <v>69</v>
      </c>
      <c r="B636" s="149">
        <v>1023022</v>
      </c>
      <c r="C636" s="148" t="s">
        <v>285</v>
      </c>
      <c r="D636" s="150">
        <v>15.84</v>
      </c>
      <c r="E636" s="151" t="s">
        <v>9</v>
      </c>
      <c r="F636" s="152">
        <v>5</v>
      </c>
      <c r="G636" s="152">
        <v>40</v>
      </c>
    </row>
    <row r="637" spans="1:7" ht="15.75" x14ac:dyDescent="0.3">
      <c r="A637" s="148" t="s">
        <v>69</v>
      </c>
      <c r="B637" s="149">
        <v>1047877</v>
      </c>
      <c r="C637" s="148" t="s">
        <v>286</v>
      </c>
      <c r="D637" s="150">
        <v>73.44</v>
      </c>
      <c r="E637" s="151" t="s">
        <v>9</v>
      </c>
      <c r="F637" s="152">
        <v>1</v>
      </c>
      <c r="G637" s="152">
        <v>20</v>
      </c>
    </row>
    <row r="638" spans="1:7" ht="15.75" x14ac:dyDescent="0.3">
      <c r="A638" s="148" t="s">
        <v>69</v>
      </c>
      <c r="B638" s="149">
        <v>1023023</v>
      </c>
      <c r="C638" s="148" t="s">
        <v>287</v>
      </c>
      <c r="D638" s="150">
        <v>6.65</v>
      </c>
      <c r="E638" s="151" t="s">
        <v>9</v>
      </c>
      <c r="F638" s="152">
        <v>5</v>
      </c>
      <c r="G638" s="152">
        <v>70</v>
      </c>
    </row>
    <row r="639" spans="1:7" ht="15.75" x14ac:dyDescent="0.3">
      <c r="A639" s="148" t="s">
        <v>69</v>
      </c>
      <c r="B639" s="149">
        <v>1023024</v>
      </c>
      <c r="C639" s="148" t="s">
        <v>288</v>
      </c>
      <c r="D639" s="150">
        <v>10.220000000000001</v>
      </c>
      <c r="E639" s="151" t="s">
        <v>9</v>
      </c>
      <c r="F639" s="152">
        <v>5</v>
      </c>
      <c r="G639" s="152">
        <v>50</v>
      </c>
    </row>
    <row r="640" spans="1:7" ht="15.75" x14ac:dyDescent="0.3">
      <c r="A640" s="148" t="s">
        <v>69</v>
      </c>
      <c r="B640" s="149">
        <v>1023025</v>
      </c>
      <c r="C640" s="148" t="s">
        <v>289</v>
      </c>
      <c r="D640" s="150">
        <v>10.220000000000001</v>
      </c>
      <c r="E640" s="151" t="s">
        <v>9</v>
      </c>
      <c r="F640" s="152">
        <v>5</v>
      </c>
      <c r="G640" s="152">
        <v>30</v>
      </c>
    </row>
    <row r="641" spans="1:7" ht="15.75" x14ac:dyDescent="0.3">
      <c r="A641" s="148" t="s">
        <v>69</v>
      </c>
      <c r="B641" s="149">
        <v>1023026</v>
      </c>
      <c r="C641" s="148" t="s">
        <v>290</v>
      </c>
      <c r="D641" s="150">
        <v>12.77</v>
      </c>
      <c r="E641" s="151" t="s">
        <v>9</v>
      </c>
      <c r="F641" s="152">
        <v>5</v>
      </c>
      <c r="G641" s="152">
        <v>35</v>
      </c>
    </row>
    <row r="642" spans="1:7" ht="15.75" x14ac:dyDescent="0.3">
      <c r="A642" s="148" t="s">
        <v>69</v>
      </c>
      <c r="B642" s="149">
        <v>1047885</v>
      </c>
      <c r="C642" s="148" t="s">
        <v>291</v>
      </c>
      <c r="D642" s="150">
        <v>9.6</v>
      </c>
      <c r="E642" s="151" t="s">
        <v>9</v>
      </c>
      <c r="F642" s="152">
        <v>5</v>
      </c>
      <c r="G642" s="152">
        <v>50</v>
      </c>
    </row>
    <row r="643" spans="1:7" ht="15.75" x14ac:dyDescent="0.3">
      <c r="A643" s="148" t="s">
        <v>69</v>
      </c>
      <c r="B643" s="149">
        <v>1047886</v>
      </c>
      <c r="C643" s="148" t="s">
        <v>292</v>
      </c>
      <c r="D643" s="150">
        <v>10.48</v>
      </c>
      <c r="E643" s="151" t="s">
        <v>9</v>
      </c>
      <c r="F643" s="152">
        <v>5</v>
      </c>
      <c r="G643" s="152">
        <v>30</v>
      </c>
    </row>
    <row r="644" spans="1:7" ht="15.75" x14ac:dyDescent="0.3">
      <c r="A644" s="148" t="s">
        <v>69</v>
      </c>
      <c r="B644" s="149">
        <v>1047887</v>
      </c>
      <c r="C644" s="148" t="s">
        <v>293</v>
      </c>
      <c r="D644" s="150">
        <v>22.96</v>
      </c>
      <c r="E644" s="151" t="s">
        <v>9</v>
      </c>
      <c r="F644" s="152">
        <v>5</v>
      </c>
      <c r="G644" s="152">
        <v>25</v>
      </c>
    </row>
    <row r="645" spans="1:7" ht="15.75" x14ac:dyDescent="0.3">
      <c r="A645" s="148" t="s">
        <v>69</v>
      </c>
      <c r="B645" s="149">
        <v>1047888</v>
      </c>
      <c r="C645" s="148" t="s">
        <v>294</v>
      </c>
      <c r="D645" s="150">
        <v>22.96</v>
      </c>
      <c r="E645" s="151" t="s">
        <v>9</v>
      </c>
      <c r="F645" s="152">
        <v>5</v>
      </c>
      <c r="G645" s="152">
        <v>20</v>
      </c>
    </row>
    <row r="646" spans="1:7" ht="15.75" x14ac:dyDescent="0.3">
      <c r="A646" s="148" t="s">
        <v>69</v>
      </c>
      <c r="B646" s="149">
        <v>1047201</v>
      </c>
      <c r="C646" s="148" t="s">
        <v>295</v>
      </c>
      <c r="D646" s="150">
        <v>78.28</v>
      </c>
      <c r="E646" s="151" t="s">
        <v>9</v>
      </c>
      <c r="F646" s="152">
        <v>1</v>
      </c>
      <c r="G646" s="152">
        <v>10</v>
      </c>
    </row>
    <row r="647" spans="1:7" ht="15.75" x14ac:dyDescent="0.3">
      <c r="A647" s="148" t="s">
        <v>69</v>
      </c>
      <c r="B647" s="149">
        <v>1023014</v>
      </c>
      <c r="C647" s="148" t="s">
        <v>296</v>
      </c>
      <c r="D647" s="150">
        <v>6.19</v>
      </c>
      <c r="E647" s="151" t="s">
        <v>9</v>
      </c>
      <c r="F647" s="152">
        <v>5</v>
      </c>
      <c r="G647" s="152">
        <v>100</v>
      </c>
    </row>
    <row r="648" spans="1:7" ht="15.75" x14ac:dyDescent="0.3">
      <c r="A648" s="148" t="s">
        <v>69</v>
      </c>
      <c r="B648" s="149">
        <v>1023015</v>
      </c>
      <c r="C648" s="148" t="s">
        <v>297</v>
      </c>
      <c r="D648" s="150">
        <v>9.33</v>
      </c>
      <c r="E648" s="151" t="s">
        <v>9</v>
      </c>
      <c r="F648" s="152">
        <v>5</v>
      </c>
      <c r="G648" s="152">
        <v>60</v>
      </c>
    </row>
    <row r="649" spans="1:7" ht="15.75" x14ac:dyDescent="0.3">
      <c r="A649" s="148" t="s">
        <v>69</v>
      </c>
      <c r="B649" s="149">
        <v>1023016</v>
      </c>
      <c r="C649" s="148" t="s">
        <v>298</v>
      </c>
      <c r="D649" s="150">
        <v>9.65</v>
      </c>
      <c r="E649" s="151" t="s">
        <v>9</v>
      </c>
      <c r="F649" s="152">
        <v>5</v>
      </c>
      <c r="G649" s="152">
        <v>50</v>
      </c>
    </row>
    <row r="650" spans="1:7" ht="15.75" x14ac:dyDescent="0.3">
      <c r="A650" s="148" t="s">
        <v>69</v>
      </c>
      <c r="B650" s="149">
        <v>1023017</v>
      </c>
      <c r="C650" s="148" t="s">
        <v>299</v>
      </c>
      <c r="D650" s="150">
        <v>17.03</v>
      </c>
      <c r="E650" s="151" t="s">
        <v>9</v>
      </c>
      <c r="F650" s="152">
        <v>5</v>
      </c>
      <c r="G650" s="152">
        <v>45</v>
      </c>
    </row>
    <row r="651" spans="1:7" ht="15.75" x14ac:dyDescent="0.3">
      <c r="A651" s="148" t="s">
        <v>69</v>
      </c>
      <c r="B651" s="149">
        <v>1023018</v>
      </c>
      <c r="C651" s="148" t="s">
        <v>300</v>
      </c>
      <c r="D651" s="150">
        <v>17.03</v>
      </c>
      <c r="E651" s="151" t="s">
        <v>9</v>
      </c>
      <c r="F651" s="152">
        <v>5</v>
      </c>
      <c r="G651" s="152">
        <v>40</v>
      </c>
    </row>
    <row r="652" spans="1:7" ht="15.75" x14ac:dyDescent="0.3">
      <c r="A652" s="148" t="s">
        <v>69</v>
      </c>
      <c r="B652" s="149">
        <v>1047879</v>
      </c>
      <c r="C652" s="148" t="s">
        <v>301</v>
      </c>
      <c r="D652" s="150">
        <v>13.68</v>
      </c>
      <c r="E652" s="151" t="s">
        <v>9</v>
      </c>
      <c r="F652" s="152">
        <v>5</v>
      </c>
      <c r="G652" s="152">
        <v>70</v>
      </c>
    </row>
    <row r="653" spans="1:7" ht="15.75" x14ac:dyDescent="0.3">
      <c r="A653" s="148" t="s">
        <v>69</v>
      </c>
      <c r="B653" s="149">
        <v>1047880</v>
      </c>
      <c r="C653" s="148" t="s">
        <v>302</v>
      </c>
      <c r="D653" s="150">
        <v>13.68</v>
      </c>
      <c r="E653" s="151" t="s">
        <v>9</v>
      </c>
      <c r="F653" s="152">
        <v>5</v>
      </c>
      <c r="G653" s="152">
        <v>50</v>
      </c>
    </row>
    <row r="654" spans="1:7" ht="15.75" x14ac:dyDescent="0.3">
      <c r="A654" s="148" t="s">
        <v>69</v>
      </c>
      <c r="B654" s="149">
        <v>1047881</v>
      </c>
      <c r="C654" s="148" t="s">
        <v>303</v>
      </c>
      <c r="D654" s="150">
        <v>17.47</v>
      </c>
      <c r="E654" s="151" t="s">
        <v>9</v>
      </c>
      <c r="F654" s="152">
        <v>5</v>
      </c>
      <c r="G654" s="152">
        <v>35</v>
      </c>
    </row>
    <row r="655" spans="1:7" ht="15.75" x14ac:dyDescent="0.3">
      <c r="A655" s="148" t="s">
        <v>69</v>
      </c>
      <c r="B655" s="149">
        <v>1047882</v>
      </c>
      <c r="C655" s="148" t="s">
        <v>304</v>
      </c>
      <c r="D655" s="150">
        <v>17.47</v>
      </c>
      <c r="E655" s="151" t="s">
        <v>9</v>
      </c>
      <c r="F655" s="152">
        <v>5</v>
      </c>
      <c r="G655" s="152">
        <v>35</v>
      </c>
    </row>
    <row r="656" spans="1:7" ht="15.75" x14ac:dyDescent="0.3">
      <c r="A656" s="148" t="s">
        <v>69</v>
      </c>
      <c r="B656" s="149">
        <v>1062845</v>
      </c>
      <c r="C656" s="148" t="s">
        <v>305</v>
      </c>
      <c r="D656" s="150">
        <v>11.38</v>
      </c>
      <c r="E656" s="151" t="s">
        <v>9</v>
      </c>
      <c r="F656" s="152">
        <v>1</v>
      </c>
      <c r="G656" s="152">
        <v>20</v>
      </c>
    </row>
    <row r="657" spans="1:7" ht="15.75" x14ac:dyDescent="0.3">
      <c r="A657" s="148" t="s">
        <v>69</v>
      </c>
      <c r="B657" s="149">
        <v>1062846</v>
      </c>
      <c r="C657" s="148" t="s">
        <v>306</v>
      </c>
      <c r="D657" s="150">
        <v>13.05</v>
      </c>
      <c r="E657" s="151" t="s">
        <v>9</v>
      </c>
      <c r="F657" s="152">
        <v>1</v>
      </c>
      <c r="G657" s="152">
        <v>10</v>
      </c>
    </row>
    <row r="658" spans="1:7" ht="15.75" x14ac:dyDescent="0.3">
      <c r="A658" s="148" t="s">
        <v>69</v>
      </c>
      <c r="B658" s="149">
        <v>1062861</v>
      </c>
      <c r="C658" s="148" t="s">
        <v>307</v>
      </c>
      <c r="D658" s="150">
        <v>13.39</v>
      </c>
      <c r="E658" s="151" t="s">
        <v>9</v>
      </c>
      <c r="F658" s="152">
        <v>1</v>
      </c>
      <c r="G658" s="152">
        <v>10</v>
      </c>
    </row>
    <row r="659" spans="1:7" ht="15.75" x14ac:dyDescent="0.3">
      <c r="A659" s="148" t="s">
        <v>69</v>
      </c>
      <c r="B659" s="149">
        <v>1047938</v>
      </c>
      <c r="C659" s="148" t="s">
        <v>308</v>
      </c>
      <c r="D659" s="150">
        <v>5.69</v>
      </c>
      <c r="E659" s="151" t="s">
        <v>9</v>
      </c>
      <c r="F659" s="152">
        <v>5</v>
      </c>
      <c r="G659" s="152">
        <v>100</v>
      </c>
    </row>
    <row r="660" spans="1:7" ht="15.75" x14ac:dyDescent="0.3">
      <c r="A660" s="148" t="s">
        <v>69</v>
      </c>
      <c r="B660" s="149">
        <v>1023040</v>
      </c>
      <c r="C660" s="148" t="s">
        <v>309</v>
      </c>
      <c r="D660" s="150">
        <v>5.69</v>
      </c>
      <c r="E660" s="151" t="s">
        <v>9</v>
      </c>
      <c r="F660" s="152">
        <v>5</v>
      </c>
      <c r="G660" s="152">
        <v>100</v>
      </c>
    </row>
    <row r="661" spans="1:7" ht="15.75" x14ac:dyDescent="0.3">
      <c r="A661" s="148" t="s">
        <v>69</v>
      </c>
      <c r="B661" s="149">
        <v>1023041</v>
      </c>
      <c r="C661" s="148" t="s">
        <v>310</v>
      </c>
      <c r="D661" s="150">
        <v>6.32</v>
      </c>
      <c r="E661" s="151" t="s">
        <v>9</v>
      </c>
      <c r="F661" s="152">
        <v>5</v>
      </c>
      <c r="G661" s="152">
        <v>100</v>
      </c>
    </row>
    <row r="662" spans="1:7" ht="15.75" x14ac:dyDescent="0.3">
      <c r="A662" s="148" t="s">
        <v>69</v>
      </c>
      <c r="B662" s="149">
        <v>1047940</v>
      </c>
      <c r="C662" s="148" t="s">
        <v>311</v>
      </c>
      <c r="D662" s="150">
        <v>6.32</v>
      </c>
      <c r="E662" s="151" t="s">
        <v>9</v>
      </c>
      <c r="F662" s="152">
        <v>5</v>
      </c>
      <c r="G662" s="152">
        <v>80</v>
      </c>
    </row>
    <row r="663" spans="1:7" ht="15.75" x14ac:dyDescent="0.3">
      <c r="A663" s="148" t="s">
        <v>69</v>
      </c>
      <c r="B663" s="149">
        <v>1047941</v>
      </c>
      <c r="C663" s="148" t="s">
        <v>312</v>
      </c>
      <c r="D663" s="150">
        <v>6.32</v>
      </c>
      <c r="E663" s="151" t="s">
        <v>9</v>
      </c>
      <c r="F663" s="152">
        <v>5</v>
      </c>
      <c r="G663" s="152">
        <v>80</v>
      </c>
    </row>
    <row r="664" spans="1:7" ht="15.75" x14ac:dyDescent="0.3">
      <c r="A664" s="148" t="s">
        <v>69</v>
      </c>
      <c r="B664" s="149">
        <v>1023042</v>
      </c>
      <c r="C664" s="148" t="s">
        <v>313</v>
      </c>
      <c r="D664" s="150">
        <v>8.17</v>
      </c>
      <c r="E664" s="151" t="s">
        <v>9</v>
      </c>
      <c r="F664" s="152">
        <v>5</v>
      </c>
      <c r="G664" s="152">
        <v>40</v>
      </c>
    </row>
    <row r="665" spans="1:7" ht="15.75" x14ac:dyDescent="0.3">
      <c r="A665" s="148" t="s">
        <v>69</v>
      </c>
      <c r="B665" s="149">
        <v>1047942</v>
      </c>
      <c r="C665" s="148" t="s">
        <v>314</v>
      </c>
      <c r="D665" s="150">
        <v>8.17</v>
      </c>
      <c r="E665" s="151" t="s">
        <v>9</v>
      </c>
      <c r="F665" s="152">
        <v>5</v>
      </c>
      <c r="G665" s="152">
        <v>60</v>
      </c>
    </row>
    <row r="666" spans="1:7" ht="15.75" x14ac:dyDescent="0.3">
      <c r="A666" s="148" t="s">
        <v>69</v>
      </c>
      <c r="B666" s="149">
        <v>1047943</v>
      </c>
      <c r="C666" s="148" t="s">
        <v>315</v>
      </c>
      <c r="D666" s="150">
        <v>45.42</v>
      </c>
      <c r="E666" s="151" t="s">
        <v>9</v>
      </c>
      <c r="F666" s="152">
        <v>1</v>
      </c>
      <c r="G666" s="152">
        <v>20</v>
      </c>
    </row>
    <row r="667" spans="1:7" ht="15.75" x14ac:dyDescent="0.3">
      <c r="A667" s="148" t="s">
        <v>69</v>
      </c>
      <c r="B667" s="149">
        <v>1084671</v>
      </c>
      <c r="C667" s="148" t="s">
        <v>954</v>
      </c>
      <c r="D667" s="150">
        <v>1.24</v>
      </c>
      <c r="E667" s="151" t="s">
        <v>9</v>
      </c>
      <c r="F667" s="152">
        <v>20</v>
      </c>
      <c r="G667" s="152">
        <v>200</v>
      </c>
    </row>
    <row r="668" spans="1:7" ht="15.75" x14ac:dyDescent="0.3">
      <c r="A668" s="148" t="s">
        <v>69</v>
      </c>
      <c r="B668" s="149">
        <v>1038419</v>
      </c>
      <c r="C668" s="148" t="s">
        <v>316</v>
      </c>
      <c r="D668" s="150">
        <v>19.809999999999999</v>
      </c>
      <c r="E668" s="151" t="s">
        <v>9</v>
      </c>
      <c r="F668" s="152">
        <v>1</v>
      </c>
      <c r="G668" s="152">
        <v>10</v>
      </c>
    </row>
    <row r="669" spans="1:7" ht="15.75" x14ac:dyDescent="0.3">
      <c r="A669" s="148" t="s">
        <v>69</v>
      </c>
      <c r="B669" s="149">
        <v>1038420</v>
      </c>
      <c r="C669" s="148" t="s">
        <v>317</v>
      </c>
      <c r="D669" s="150">
        <v>23.73</v>
      </c>
      <c r="E669" s="151" t="s">
        <v>9</v>
      </c>
      <c r="F669" s="152">
        <v>1</v>
      </c>
      <c r="G669" s="152">
        <v>10</v>
      </c>
    </row>
    <row r="670" spans="1:7" ht="15.75" x14ac:dyDescent="0.3">
      <c r="A670" s="148" t="s">
        <v>69</v>
      </c>
      <c r="B670" s="149">
        <v>1038421</v>
      </c>
      <c r="C670" s="148" t="s">
        <v>318</v>
      </c>
      <c r="D670" s="150">
        <v>27.71</v>
      </c>
      <c r="E670" s="151" t="s">
        <v>9</v>
      </c>
      <c r="F670" s="152">
        <v>1</v>
      </c>
      <c r="G670" s="152">
        <v>10</v>
      </c>
    </row>
    <row r="671" spans="1:7" ht="15.75" x14ac:dyDescent="0.3">
      <c r="A671" s="148" t="s">
        <v>69</v>
      </c>
      <c r="B671" s="149">
        <v>1059820</v>
      </c>
      <c r="C671" s="148" t="s">
        <v>955</v>
      </c>
      <c r="D671" s="150">
        <v>49.84</v>
      </c>
      <c r="E671" s="151" t="s">
        <v>9</v>
      </c>
      <c r="F671" s="152">
        <v>1</v>
      </c>
      <c r="G671" s="152">
        <v>5</v>
      </c>
    </row>
    <row r="672" spans="1:7" ht="15.75" x14ac:dyDescent="0.3">
      <c r="A672" s="148" t="s">
        <v>69</v>
      </c>
      <c r="B672" s="149">
        <v>1059821</v>
      </c>
      <c r="C672" s="148" t="s">
        <v>956</v>
      </c>
      <c r="D672" s="150">
        <v>68.680000000000007</v>
      </c>
      <c r="E672" s="151" t="s">
        <v>9</v>
      </c>
      <c r="F672" s="152">
        <v>1</v>
      </c>
      <c r="G672" s="152">
        <v>5</v>
      </c>
    </row>
    <row r="673" spans="1:7" ht="15.75" x14ac:dyDescent="0.3">
      <c r="A673" s="148" t="s">
        <v>69</v>
      </c>
      <c r="B673" s="149">
        <v>1059822</v>
      </c>
      <c r="C673" s="148" t="s">
        <v>957</v>
      </c>
      <c r="D673" s="150">
        <v>11.57</v>
      </c>
      <c r="E673" s="151" t="s">
        <v>9</v>
      </c>
      <c r="F673" s="152">
        <v>5</v>
      </c>
      <c r="G673" s="152">
        <v>40</v>
      </c>
    </row>
    <row r="674" spans="1:7" ht="15.75" x14ac:dyDescent="0.3">
      <c r="A674" s="148" t="s">
        <v>69</v>
      </c>
      <c r="B674" s="149">
        <v>1059823</v>
      </c>
      <c r="C674" s="148" t="s">
        <v>958</v>
      </c>
      <c r="D674" s="150">
        <v>11.57</v>
      </c>
      <c r="E674" s="151" t="s">
        <v>9</v>
      </c>
      <c r="F674" s="152">
        <v>5</v>
      </c>
      <c r="G674" s="152">
        <v>40</v>
      </c>
    </row>
    <row r="675" spans="1:7" ht="15.75" x14ac:dyDescent="0.3">
      <c r="A675" s="148" t="s">
        <v>69</v>
      </c>
      <c r="B675" s="149">
        <v>1023034</v>
      </c>
      <c r="C675" s="148" t="s">
        <v>959</v>
      </c>
      <c r="D675" s="150">
        <v>7.9</v>
      </c>
      <c r="E675" s="151" t="s">
        <v>9</v>
      </c>
      <c r="F675" s="152">
        <v>5</v>
      </c>
      <c r="G675" s="152">
        <v>40</v>
      </c>
    </row>
    <row r="676" spans="1:7" ht="15.75" x14ac:dyDescent="0.3">
      <c r="A676" s="148" t="s">
        <v>69</v>
      </c>
      <c r="B676" s="149">
        <v>1023035</v>
      </c>
      <c r="C676" s="148" t="s">
        <v>960</v>
      </c>
      <c r="D676" s="150">
        <v>8.7100000000000009</v>
      </c>
      <c r="E676" s="151" t="s">
        <v>9</v>
      </c>
      <c r="F676" s="152">
        <v>5</v>
      </c>
      <c r="G676" s="152">
        <v>40</v>
      </c>
    </row>
    <row r="677" spans="1:7" ht="15.75" x14ac:dyDescent="0.3">
      <c r="A677" s="148" t="s">
        <v>69</v>
      </c>
      <c r="B677" s="149">
        <v>1047935</v>
      </c>
      <c r="C677" s="148" t="s">
        <v>961</v>
      </c>
      <c r="D677" s="150">
        <v>13.97</v>
      </c>
      <c r="E677" s="151" t="s">
        <v>9</v>
      </c>
      <c r="F677" s="152">
        <v>40</v>
      </c>
      <c r="G677" s="152">
        <v>3840</v>
      </c>
    </row>
    <row r="678" spans="1:7" ht="15.75" x14ac:dyDescent="0.3">
      <c r="A678" s="148" t="s">
        <v>69</v>
      </c>
      <c r="B678" s="149">
        <v>1038470</v>
      </c>
      <c r="C678" s="148" t="s">
        <v>962</v>
      </c>
      <c r="D678" s="150">
        <v>2.09</v>
      </c>
      <c r="E678" s="151" t="s">
        <v>9</v>
      </c>
      <c r="F678" s="152">
        <v>10</v>
      </c>
      <c r="G678" s="152">
        <v>200</v>
      </c>
    </row>
    <row r="679" spans="1:7" ht="15.75" x14ac:dyDescent="0.3">
      <c r="A679" s="148" t="s">
        <v>69</v>
      </c>
      <c r="B679" s="149">
        <v>1047932</v>
      </c>
      <c r="C679" s="148" t="s">
        <v>963</v>
      </c>
      <c r="D679" s="150">
        <v>21.57</v>
      </c>
      <c r="E679" s="151" t="s">
        <v>9</v>
      </c>
      <c r="F679" s="152">
        <v>5</v>
      </c>
      <c r="G679" s="152">
        <v>25</v>
      </c>
    </row>
    <row r="680" spans="1:7" ht="15.75" x14ac:dyDescent="0.3">
      <c r="A680" s="148" t="s">
        <v>69</v>
      </c>
      <c r="B680" s="149">
        <v>1047933</v>
      </c>
      <c r="C680" s="148" t="s">
        <v>964</v>
      </c>
      <c r="D680" s="150">
        <v>22.92</v>
      </c>
      <c r="E680" s="151" t="s">
        <v>9</v>
      </c>
      <c r="F680" s="152">
        <v>5</v>
      </c>
      <c r="G680" s="152">
        <v>20</v>
      </c>
    </row>
    <row r="681" spans="1:7" ht="15.75" x14ac:dyDescent="0.3">
      <c r="A681" s="148" t="s">
        <v>69</v>
      </c>
      <c r="B681" s="149">
        <v>1023045</v>
      </c>
      <c r="C681" s="148" t="s">
        <v>965</v>
      </c>
      <c r="D681" s="150">
        <v>14.87</v>
      </c>
      <c r="E681" s="151" t="s">
        <v>9</v>
      </c>
      <c r="F681" s="152">
        <v>2</v>
      </c>
      <c r="G681" s="152">
        <v>40</v>
      </c>
    </row>
    <row r="682" spans="1:7" ht="15.75" x14ac:dyDescent="0.3">
      <c r="A682" s="148" t="s">
        <v>69</v>
      </c>
      <c r="B682" s="149">
        <v>1023046</v>
      </c>
      <c r="C682" s="148" t="s">
        <v>966</v>
      </c>
      <c r="D682" s="150">
        <v>17.03</v>
      </c>
      <c r="E682" s="151" t="s">
        <v>9</v>
      </c>
      <c r="F682" s="152">
        <v>2</v>
      </c>
      <c r="G682" s="152">
        <v>30</v>
      </c>
    </row>
    <row r="683" spans="1:7" ht="15.75" x14ac:dyDescent="0.3">
      <c r="A683" s="148" t="s">
        <v>69</v>
      </c>
      <c r="B683" s="149">
        <v>1023047</v>
      </c>
      <c r="C683" s="148" t="s">
        <v>967</v>
      </c>
      <c r="D683" s="150">
        <v>33.72</v>
      </c>
      <c r="E683" s="151" t="s">
        <v>9</v>
      </c>
      <c r="F683" s="152">
        <v>2</v>
      </c>
      <c r="G683" s="152">
        <v>20</v>
      </c>
    </row>
    <row r="684" spans="1:7" ht="15.75" x14ac:dyDescent="0.3">
      <c r="A684" s="148" t="s">
        <v>69</v>
      </c>
      <c r="B684" s="149">
        <v>1023049</v>
      </c>
      <c r="C684" s="148" t="s">
        <v>968</v>
      </c>
      <c r="D684" s="150">
        <v>19.97</v>
      </c>
      <c r="E684" s="151" t="s">
        <v>9</v>
      </c>
      <c r="F684" s="152">
        <v>2</v>
      </c>
      <c r="G684" s="152">
        <v>30</v>
      </c>
    </row>
    <row r="685" spans="1:7" ht="15.75" x14ac:dyDescent="0.3">
      <c r="A685" s="148" t="s">
        <v>69</v>
      </c>
      <c r="B685" s="149">
        <v>1023050</v>
      </c>
      <c r="C685" s="148" t="s">
        <v>969</v>
      </c>
      <c r="D685" s="150">
        <v>19.97</v>
      </c>
      <c r="E685" s="151" t="s">
        <v>9</v>
      </c>
      <c r="F685" s="152">
        <v>2</v>
      </c>
      <c r="G685" s="152">
        <v>30</v>
      </c>
    </row>
    <row r="686" spans="1:7" ht="15.75" x14ac:dyDescent="0.3">
      <c r="A686" s="148" t="s">
        <v>69</v>
      </c>
      <c r="B686" s="149">
        <v>1047999</v>
      </c>
      <c r="C686" s="148" t="s">
        <v>970</v>
      </c>
      <c r="D686" s="150">
        <v>15.84</v>
      </c>
      <c r="E686" s="151" t="s">
        <v>9</v>
      </c>
      <c r="F686" s="152">
        <v>1</v>
      </c>
      <c r="G686" s="152">
        <v>10</v>
      </c>
    </row>
    <row r="687" spans="1:7" ht="15.75" x14ac:dyDescent="0.3">
      <c r="A687" s="148" t="s">
        <v>69</v>
      </c>
      <c r="B687" s="149">
        <v>1048000</v>
      </c>
      <c r="C687" s="148" t="s">
        <v>971</v>
      </c>
      <c r="D687" s="150">
        <v>19.809999999999999</v>
      </c>
      <c r="E687" s="151" t="s">
        <v>9</v>
      </c>
      <c r="F687" s="152">
        <v>1</v>
      </c>
      <c r="G687" s="152">
        <v>8</v>
      </c>
    </row>
    <row r="688" spans="1:7" ht="15.75" x14ac:dyDescent="0.3">
      <c r="A688" s="148" t="s">
        <v>69</v>
      </c>
      <c r="B688" s="149">
        <v>1048001</v>
      </c>
      <c r="C688" s="148" t="s">
        <v>972</v>
      </c>
      <c r="D688" s="150">
        <v>27.71</v>
      </c>
      <c r="E688" s="151" t="s">
        <v>9</v>
      </c>
      <c r="F688" s="152">
        <v>1</v>
      </c>
      <c r="G688" s="152">
        <v>6</v>
      </c>
    </row>
    <row r="689" spans="1:7" ht="15.75" x14ac:dyDescent="0.3">
      <c r="A689" s="148" t="s">
        <v>69</v>
      </c>
      <c r="B689" s="149">
        <v>1047997</v>
      </c>
      <c r="C689" s="148" t="s">
        <v>973</v>
      </c>
      <c r="D689" s="150">
        <v>15.84</v>
      </c>
      <c r="E689" s="151" t="s">
        <v>9</v>
      </c>
      <c r="F689" s="152">
        <v>1</v>
      </c>
      <c r="G689" s="152">
        <v>20</v>
      </c>
    </row>
    <row r="690" spans="1:7" ht="15.75" x14ac:dyDescent="0.3">
      <c r="A690" s="148" t="s">
        <v>69</v>
      </c>
      <c r="B690" s="149">
        <v>1047998</v>
      </c>
      <c r="C690" s="148" t="s">
        <v>974</v>
      </c>
      <c r="D690" s="150">
        <v>16.61</v>
      </c>
      <c r="E690" s="151" t="s">
        <v>9</v>
      </c>
      <c r="F690" s="152">
        <v>1</v>
      </c>
      <c r="G690" s="152">
        <v>20</v>
      </c>
    </row>
    <row r="691" spans="1:7" ht="15.75" x14ac:dyDescent="0.3">
      <c r="A691" s="148" t="s">
        <v>69</v>
      </c>
      <c r="B691" s="149">
        <v>1048002</v>
      </c>
      <c r="C691" s="148" t="s">
        <v>975</v>
      </c>
      <c r="D691" s="150">
        <v>13.05</v>
      </c>
      <c r="E691" s="151" t="s">
        <v>9</v>
      </c>
      <c r="F691" s="152">
        <v>1</v>
      </c>
      <c r="G691" s="152">
        <v>20</v>
      </c>
    </row>
    <row r="692" spans="1:7" ht="15.75" x14ac:dyDescent="0.3">
      <c r="A692" s="148" t="s">
        <v>69</v>
      </c>
      <c r="B692" s="149">
        <v>1048003</v>
      </c>
      <c r="C692" s="148" t="s">
        <v>976</v>
      </c>
      <c r="D692" s="150">
        <v>13.46</v>
      </c>
      <c r="E692" s="151" t="s">
        <v>9</v>
      </c>
      <c r="F692" s="152">
        <v>1</v>
      </c>
      <c r="G692" s="152">
        <v>20</v>
      </c>
    </row>
    <row r="693" spans="1:7" ht="15.75" x14ac:dyDescent="0.3">
      <c r="A693" s="148" t="s">
        <v>69</v>
      </c>
      <c r="B693" s="149">
        <v>1048004</v>
      </c>
      <c r="C693" s="148" t="s">
        <v>977</v>
      </c>
      <c r="D693" s="150">
        <v>7.9</v>
      </c>
      <c r="E693" s="151" t="s">
        <v>9</v>
      </c>
      <c r="F693" s="152">
        <v>1</v>
      </c>
      <c r="G693" s="152">
        <v>20</v>
      </c>
    </row>
    <row r="694" spans="1:7" ht="15.75" x14ac:dyDescent="0.3">
      <c r="A694" s="148" t="s">
        <v>69</v>
      </c>
      <c r="B694" s="149">
        <v>1048005</v>
      </c>
      <c r="C694" s="148" t="s">
        <v>978</v>
      </c>
      <c r="D694" s="150">
        <v>26.21</v>
      </c>
      <c r="E694" s="151" t="s">
        <v>9</v>
      </c>
      <c r="F694" s="152">
        <v>1</v>
      </c>
      <c r="G694" s="152">
        <v>20</v>
      </c>
    </row>
    <row r="695" spans="1:7" ht="15.75" x14ac:dyDescent="0.3">
      <c r="A695" s="148" t="s">
        <v>69</v>
      </c>
      <c r="B695" s="149">
        <v>1092021</v>
      </c>
      <c r="C695" s="148" t="s">
        <v>979</v>
      </c>
      <c r="D695" s="150">
        <v>19.29</v>
      </c>
      <c r="E695" s="151" t="s">
        <v>68</v>
      </c>
      <c r="F695" s="152">
        <v>1</v>
      </c>
      <c r="G695" s="152">
        <v>50</v>
      </c>
    </row>
    <row r="696" spans="1:7" ht="15.75" x14ac:dyDescent="0.3">
      <c r="A696" s="148" t="s">
        <v>69</v>
      </c>
      <c r="B696" s="149">
        <v>1087375</v>
      </c>
      <c r="C696" s="148" t="s">
        <v>980</v>
      </c>
      <c r="D696" s="150">
        <v>13.01</v>
      </c>
      <c r="E696" s="151" t="s">
        <v>68</v>
      </c>
      <c r="F696" s="152">
        <v>1</v>
      </c>
      <c r="G696" s="152">
        <v>20</v>
      </c>
    </row>
    <row r="697" spans="1:7" ht="15.75" x14ac:dyDescent="0.3">
      <c r="A697" s="148" t="s">
        <v>69</v>
      </c>
      <c r="B697" s="149">
        <v>1001337</v>
      </c>
      <c r="C697" s="148" t="s">
        <v>981</v>
      </c>
      <c r="D697" s="150">
        <v>2.78</v>
      </c>
      <c r="E697" s="151" t="s">
        <v>9</v>
      </c>
      <c r="F697" s="152">
        <v>10</v>
      </c>
      <c r="G697" s="152">
        <v>250</v>
      </c>
    </row>
    <row r="698" spans="1:7" ht="15.75" x14ac:dyDescent="0.3">
      <c r="A698" s="148" t="s">
        <v>319</v>
      </c>
      <c r="B698" s="149">
        <v>1045542</v>
      </c>
      <c r="C698" s="148" t="s">
        <v>321</v>
      </c>
      <c r="D698" s="150">
        <v>8.06</v>
      </c>
      <c r="E698" s="151" t="s">
        <v>68</v>
      </c>
      <c r="F698" s="152">
        <v>10</v>
      </c>
      <c r="G698" s="152">
        <v>100</v>
      </c>
    </row>
    <row r="699" spans="1:7" ht="15.75" x14ac:dyDescent="0.3">
      <c r="A699" s="148" t="s">
        <v>319</v>
      </c>
      <c r="B699" s="149">
        <v>1045543</v>
      </c>
      <c r="C699" s="148" t="s">
        <v>323</v>
      </c>
      <c r="D699" s="150">
        <v>10.06</v>
      </c>
      <c r="E699" s="151" t="s">
        <v>68</v>
      </c>
      <c r="F699" s="152">
        <v>10</v>
      </c>
      <c r="G699" s="152">
        <v>100</v>
      </c>
    </row>
    <row r="700" spans="1:7" ht="15.75" x14ac:dyDescent="0.3">
      <c r="A700" s="148" t="s">
        <v>319</v>
      </c>
      <c r="B700" s="149">
        <v>1057441</v>
      </c>
      <c r="C700" s="148" t="s">
        <v>320</v>
      </c>
      <c r="D700" s="150">
        <v>7.68</v>
      </c>
      <c r="E700" s="151" t="s">
        <v>9</v>
      </c>
      <c r="F700" s="152">
        <v>10</v>
      </c>
      <c r="G700" s="152">
        <v>100</v>
      </c>
    </row>
    <row r="701" spans="1:7" ht="15.75" x14ac:dyDescent="0.3">
      <c r="A701" s="148" t="s">
        <v>319</v>
      </c>
      <c r="B701" s="149">
        <v>1057442</v>
      </c>
      <c r="C701" s="148" t="s">
        <v>322</v>
      </c>
      <c r="D701" s="150">
        <v>9.67</v>
      </c>
      <c r="E701" s="151" t="s">
        <v>9</v>
      </c>
      <c r="F701" s="152">
        <v>10</v>
      </c>
      <c r="G701" s="152">
        <v>100</v>
      </c>
    </row>
    <row r="702" spans="1:7" ht="15.75" x14ac:dyDescent="0.3">
      <c r="A702" s="148" t="s">
        <v>144</v>
      </c>
      <c r="B702" s="149">
        <v>1047021</v>
      </c>
      <c r="C702" s="148" t="s">
        <v>324</v>
      </c>
      <c r="D702" s="150">
        <v>37.22</v>
      </c>
      <c r="E702" s="151" t="s">
        <v>9</v>
      </c>
      <c r="F702" s="152">
        <v>1</v>
      </c>
      <c r="G702" s="152">
        <v>480</v>
      </c>
    </row>
    <row r="703" spans="1:7" ht="15.75" x14ac:dyDescent="0.3">
      <c r="A703" s="148" t="s">
        <v>144</v>
      </c>
      <c r="B703" s="149">
        <v>1047022</v>
      </c>
      <c r="C703" s="148" t="s">
        <v>325</v>
      </c>
      <c r="D703" s="150">
        <v>53.83</v>
      </c>
      <c r="E703" s="151" t="s">
        <v>9</v>
      </c>
      <c r="F703" s="152">
        <v>1</v>
      </c>
      <c r="G703" s="152">
        <v>480</v>
      </c>
    </row>
    <row r="704" spans="1:7" ht="15.75" x14ac:dyDescent="0.3">
      <c r="A704" s="148" t="s">
        <v>144</v>
      </c>
      <c r="B704" s="149">
        <v>1047023</v>
      </c>
      <c r="C704" s="148" t="s">
        <v>326</v>
      </c>
      <c r="D704" s="150">
        <v>54.51</v>
      </c>
      <c r="E704" s="151" t="s">
        <v>9</v>
      </c>
      <c r="F704" s="152">
        <v>1</v>
      </c>
      <c r="G704" s="152">
        <v>480</v>
      </c>
    </row>
    <row r="705" spans="1:7" ht="15.75" x14ac:dyDescent="0.3">
      <c r="A705" s="148" t="s">
        <v>144</v>
      </c>
      <c r="B705" s="149">
        <v>1047024</v>
      </c>
      <c r="C705" s="148" t="s">
        <v>327</v>
      </c>
      <c r="D705" s="150">
        <v>66.92</v>
      </c>
      <c r="E705" s="151" t="s">
        <v>9</v>
      </c>
      <c r="F705" s="152">
        <v>1</v>
      </c>
      <c r="G705" s="152">
        <v>400</v>
      </c>
    </row>
    <row r="706" spans="1:7" ht="15.75" x14ac:dyDescent="0.3">
      <c r="A706" s="148" t="s">
        <v>144</v>
      </c>
      <c r="B706" s="149">
        <v>1047026</v>
      </c>
      <c r="C706" s="148" t="s">
        <v>328</v>
      </c>
      <c r="D706" s="150">
        <v>68.31</v>
      </c>
      <c r="E706" s="151" t="s">
        <v>9</v>
      </c>
      <c r="F706" s="152">
        <v>1</v>
      </c>
      <c r="G706" s="152">
        <v>400</v>
      </c>
    </row>
    <row r="707" spans="1:7" ht="15.75" x14ac:dyDescent="0.3">
      <c r="A707" s="148" t="s">
        <v>144</v>
      </c>
      <c r="B707" s="149">
        <v>1085079</v>
      </c>
      <c r="C707" s="148" t="s">
        <v>329</v>
      </c>
      <c r="D707" s="150">
        <v>169.24</v>
      </c>
      <c r="E707" s="151" t="s">
        <v>9</v>
      </c>
      <c r="F707" s="152">
        <v>1</v>
      </c>
      <c r="G707" s="152">
        <v>6</v>
      </c>
    </row>
    <row r="708" spans="1:7" ht="15.75" x14ac:dyDescent="0.3">
      <c r="A708" s="148" t="s">
        <v>341</v>
      </c>
      <c r="B708" s="149">
        <v>1063781</v>
      </c>
      <c r="C708" s="148" t="s">
        <v>982</v>
      </c>
      <c r="D708" s="150">
        <v>1.19</v>
      </c>
      <c r="E708" s="151" t="s">
        <v>9</v>
      </c>
      <c r="F708" s="152">
        <v>50</v>
      </c>
      <c r="G708" s="152">
        <v>500</v>
      </c>
    </row>
    <row r="709" spans="1:7" ht="15.75" x14ac:dyDescent="0.3">
      <c r="A709" s="148" t="s">
        <v>341</v>
      </c>
      <c r="B709" s="149">
        <v>1135490</v>
      </c>
      <c r="C709" s="148" t="s">
        <v>983</v>
      </c>
      <c r="D709" s="150">
        <v>0.74</v>
      </c>
      <c r="E709" s="151" t="s">
        <v>9</v>
      </c>
      <c r="F709" s="152">
        <v>60</v>
      </c>
      <c r="G709" s="152">
        <v>360</v>
      </c>
    </row>
    <row r="710" spans="1:7" ht="15.75" x14ac:dyDescent="0.3">
      <c r="A710" s="148" t="s">
        <v>341</v>
      </c>
      <c r="B710" s="149">
        <v>1135491</v>
      </c>
      <c r="C710" s="148" t="s">
        <v>984</v>
      </c>
      <c r="D710" s="150">
        <v>0.76</v>
      </c>
      <c r="E710" s="151" t="s">
        <v>9</v>
      </c>
      <c r="F710" s="152">
        <v>30</v>
      </c>
      <c r="G710" s="152">
        <v>240</v>
      </c>
    </row>
    <row r="711" spans="1:7" ht="15.75" x14ac:dyDescent="0.3">
      <c r="A711" s="148" t="s">
        <v>341</v>
      </c>
      <c r="B711" s="149">
        <v>1135492</v>
      </c>
      <c r="C711" s="148" t="s">
        <v>985</v>
      </c>
      <c r="D711" s="150">
        <v>1.21</v>
      </c>
      <c r="E711" s="151" t="s">
        <v>9</v>
      </c>
      <c r="F711" s="152">
        <v>35</v>
      </c>
      <c r="G711" s="152">
        <v>140</v>
      </c>
    </row>
    <row r="712" spans="1:7" ht="15.75" x14ac:dyDescent="0.3">
      <c r="A712" s="148" t="s">
        <v>330</v>
      </c>
      <c r="B712" s="149">
        <v>1000118</v>
      </c>
      <c r="C712" s="148" t="s">
        <v>986</v>
      </c>
      <c r="D712" s="150">
        <v>1.78</v>
      </c>
      <c r="E712" s="151" t="s">
        <v>9</v>
      </c>
      <c r="F712" s="152">
        <v>50</v>
      </c>
      <c r="G712" s="152">
        <v>250</v>
      </c>
    </row>
    <row r="713" spans="1:7" ht="15.75" x14ac:dyDescent="0.3">
      <c r="A713" s="148" t="s">
        <v>330</v>
      </c>
      <c r="B713" s="149">
        <v>1001229</v>
      </c>
      <c r="C713" s="148" t="s">
        <v>987</v>
      </c>
      <c r="D713" s="150">
        <v>2.66</v>
      </c>
      <c r="E713" s="151" t="s">
        <v>9</v>
      </c>
      <c r="F713" s="152">
        <v>50</v>
      </c>
      <c r="G713" s="152">
        <v>2300</v>
      </c>
    </row>
    <row r="714" spans="1:7" ht="15.75" x14ac:dyDescent="0.3">
      <c r="A714" s="148" t="s">
        <v>330</v>
      </c>
      <c r="B714" s="149">
        <v>1001230</v>
      </c>
      <c r="C714" s="148" t="s">
        <v>988</v>
      </c>
      <c r="D714" s="150">
        <v>2.5299999999999998</v>
      </c>
      <c r="E714" s="151" t="s">
        <v>9</v>
      </c>
      <c r="F714" s="152">
        <v>50</v>
      </c>
      <c r="G714" s="152">
        <v>900</v>
      </c>
    </row>
    <row r="715" spans="1:7" ht="15.75" x14ac:dyDescent="0.3">
      <c r="A715" s="148" t="s">
        <v>330</v>
      </c>
      <c r="B715" s="149">
        <v>1034554</v>
      </c>
      <c r="C715" s="148" t="s">
        <v>989</v>
      </c>
      <c r="D715" s="150">
        <v>4.75</v>
      </c>
      <c r="E715" s="151" t="s">
        <v>9</v>
      </c>
      <c r="F715" s="152">
        <v>20</v>
      </c>
      <c r="G715" s="152">
        <v>200</v>
      </c>
    </row>
    <row r="716" spans="1:7" ht="15.75" x14ac:dyDescent="0.3">
      <c r="A716" s="148" t="s">
        <v>330</v>
      </c>
      <c r="B716" s="149">
        <v>1034555</v>
      </c>
      <c r="C716" s="148" t="s">
        <v>990</v>
      </c>
      <c r="D716" s="150">
        <v>7.64</v>
      </c>
      <c r="E716" s="151" t="s">
        <v>9</v>
      </c>
      <c r="F716" s="152">
        <v>20</v>
      </c>
      <c r="G716" s="152">
        <v>100</v>
      </c>
    </row>
    <row r="717" spans="1:7" ht="15.75" x14ac:dyDescent="0.3">
      <c r="A717" s="148" t="s">
        <v>330</v>
      </c>
      <c r="B717" s="149">
        <v>1009004</v>
      </c>
      <c r="C717" s="148" t="s">
        <v>991</v>
      </c>
      <c r="D717" s="150">
        <v>2.37</v>
      </c>
      <c r="E717" s="151" t="s">
        <v>9</v>
      </c>
      <c r="F717" s="152">
        <v>10</v>
      </c>
      <c r="G717" s="152">
        <v>11000</v>
      </c>
    </row>
    <row r="718" spans="1:7" ht="15.75" x14ac:dyDescent="0.3">
      <c r="A718" s="148" t="s">
        <v>330</v>
      </c>
      <c r="B718" s="149">
        <v>1009233</v>
      </c>
      <c r="C718" s="148" t="s">
        <v>992</v>
      </c>
      <c r="D718" s="150">
        <v>2.62</v>
      </c>
      <c r="E718" s="151" t="s">
        <v>9</v>
      </c>
      <c r="F718" s="152">
        <v>20</v>
      </c>
      <c r="G718" s="152">
        <v>5000</v>
      </c>
    </row>
    <row r="719" spans="1:7" ht="15.75" x14ac:dyDescent="0.3">
      <c r="A719" s="148" t="s">
        <v>330</v>
      </c>
      <c r="B719" s="149">
        <v>1009006</v>
      </c>
      <c r="C719" s="148" t="s">
        <v>993</v>
      </c>
      <c r="D719" s="150">
        <v>4.75</v>
      </c>
      <c r="E719" s="151" t="s">
        <v>9</v>
      </c>
      <c r="F719" s="152">
        <v>10</v>
      </c>
      <c r="G719" s="152">
        <v>2340</v>
      </c>
    </row>
    <row r="720" spans="1:7" ht="15.75" x14ac:dyDescent="0.3">
      <c r="A720" s="148" t="s">
        <v>330</v>
      </c>
      <c r="B720" s="149">
        <v>1001231</v>
      </c>
      <c r="C720" s="148" t="s">
        <v>994</v>
      </c>
      <c r="D720" s="150">
        <v>8.67</v>
      </c>
      <c r="E720" s="151" t="s">
        <v>9</v>
      </c>
      <c r="F720" s="152">
        <v>2</v>
      </c>
      <c r="G720" s="152">
        <v>1400</v>
      </c>
    </row>
    <row r="721" spans="1:7" ht="15.75" x14ac:dyDescent="0.3">
      <c r="A721" s="148" t="s">
        <v>330</v>
      </c>
      <c r="B721" s="149">
        <v>1135501</v>
      </c>
      <c r="C721" s="148" t="s">
        <v>995</v>
      </c>
      <c r="D721" s="150">
        <v>0.42</v>
      </c>
      <c r="E721" s="151" t="s">
        <v>9</v>
      </c>
      <c r="F721" s="152">
        <v>20</v>
      </c>
      <c r="G721" s="152">
        <v>360</v>
      </c>
    </row>
    <row r="722" spans="1:7" ht="15.75" x14ac:dyDescent="0.3">
      <c r="A722" s="148" t="s">
        <v>330</v>
      </c>
      <c r="B722" s="149">
        <v>1135499</v>
      </c>
      <c r="C722" s="148" t="s">
        <v>996</v>
      </c>
      <c r="D722" s="150">
        <v>0.42</v>
      </c>
      <c r="E722" s="151" t="s">
        <v>9</v>
      </c>
      <c r="F722" s="152">
        <v>20</v>
      </c>
      <c r="G722" s="152">
        <v>360</v>
      </c>
    </row>
    <row r="723" spans="1:7" ht="15.75" x14ac:dyDescent="0.3">
      <c r="A723" s="148" t="s">
        <v>330</v>
      </c>
      <c r="B723" s="149">
        <v>1023176</v>
      </c>
      <c r="C723" s="148" t="s">
        <v>997</v>
      </c>
      <c r="D723" s="150">
        <v>5.54</v>
      </c>
      <c r="E723" s="151" t="s">
        <v>68</v>
      </c>
      <c r="F723" s="152">
        <v>1</v>
      </c>
      <c r="G723" s="152">
        <v>50</v>
      </c>
    </row>
    <row r="724" spans="1:7" ht="15.75" x14ac:dyDescent="0.3">
      <c r="A724" s="148" t="s">
        <v>330</v>
      </c>
      <c r="B724" s="149">
        <v>1009008</v>
      </c>
      <c r="C724" s="148" t="s">
        <v>998</v>
      </c>
      <c r="D724" s="150">
        <v>3.17</v>
      </c>
      <c r="E724" s="151" t="s">
        <v>9</v>
      </c>
      <c r="F724" s="152">
        <v>10</v>
      </c>
      <c r="G724" s="152">
        <v>750</v>
      </c>
    </row>
    <row r="725" spans="1:7" ht="15.75" x14ac:dyDescent="0.3">
      <c r="A725" s="148" t="s">
        <v>330</v>
      </c>
      <c r="B725" s="149">
        <v>1023178</v>
      </c>
      <c r="C725" s="148" t="s">
        <v>999</v>
      </c>
      <c r="D725" s="150">
        <v>19.41</v>
      </c>
      <c r="E725" s="151" t="s">
        <v>9</v>
      </c>
      <c r="F725" s="152">
        <v>1</v>
      </c>
      <c r="G725" s="149"/>
    </row>
    <row r="726" spans="1:7" ht="15.75" x14ac:dyDescent="0.3">
      <c r="A726" s="148" t="s">
        <v>330</v>
      </c>
      <c r="B726" s="149">
        <v>1091684</v>
      </c>
      <c r="C726" s="148" t="s">
        <v>1000</v>
      </c>
      <c r="D726" s="150">
        <v>21.77</v>
      </c>
      <c r="E726" s="151" t="s">
        <v>9</v>
      </c>
      <c r="F726" s="152">
        <v>1</v>
      </c>
      <c r="G726" s="152">
        <v>25</v>
      </c>
    </row>
    <row r="727" spans="1:7" ht="15.75" x14ac:dyDescent="0.3">
      <c r="A727" s="148" t="s">
        <v>330</v>
      </c>
      <c r="B727" s="149">
        <v>1023179</v>
      </c>
      <c r="C727" s="148" t="s">
        <v>1001</v>
      </c>
      <c r="D727" s="150">
        <v>26.13</v>
      </c>
      <c r="E727" s="151" t="s">
        <v>9</v>
      </c>
      <c r="F727" s="152">
        <v>1</v>
      </c>
      <c r="G727" s="152">
        <v>25</v>
      </c>
    </row>
    <row r="728" spans="1:7" ht="15.75" x14ac:dyDescent="0.3">
      <c r="A728" s="148" t="s">
        <v>330</v>
      </c>
      <c r="B728" s="149">
        <v>1023180</v>
      </c>
      <c r="C728" s="148" t="s">
        <v>1002</v>
      </c>
      <c r="D728" s="150">
        <v>43.94</v>
      </c>
      <c r="E728" s="151" t="s">
        <v>9</v>
      </c>
      <c r="F728" s="152">
        <v>1</v>
      </c>
      <c r="G728" s="149"/>
    </row>
    <row r="729" spans="1:7" ht="15.75" x14ac:dyDescent="0.3">
      <c r="A729" s="148" t="s">
        <v>330</v>
      </c>
      <c r="B729" s="149">
        <v>1023181</v>
      </c>
      <c r="C729" s="148" t="s">
        <v>1003</v>
      </c>
      <c r="D729" s="150">
        <v>50.88</v>
      </c>
      <c r="E729" s="151" t="s">
        <v>9</v>
      </c>
      <c r="F729" s="152">
        <v>1</v>
      </c>
      <c r="G729" s="149"/>
    </row>
    <row r="730" spans="1:7" ht="15.75" x14ac:dyDescent="0.3">
      <c r="A730" s="148" t="s">
        <v>330</v>
      </c>
      <c r="B730" s="149">
        <v>1023182</v>
      </c>
      <c r="C730" s="148" t="s">
        <v>1004</v>
      </c>
      <c r="D730" s="150">
        <v>52.5</v>
      </c>
      <c r="E730" s="151" t="s">
        <v>9</v>
      </c>
      <c r="F730" s="152">
        <v>1</v>
      </c>
      <c r="G730" s="149"/>
    </row>
    <row r="731" spans="1:7" ht="15.75" x14ac:dyDescent="0.3">
      <c r="A731" s="148" t="s">
        <v>330</v>
      </c>
      <c r="B731" s="149">
        <v>1023183</v>
      </c>
      <c r="C731" s="148" t="s">
        <v>1005</v>
      </c>
      <c r="D731" s="150">
        <v>56.09</v>
      </c>
      <c r="E731" s="151" t="s">
        <v>9</v>
      </c>
      <c r="F731" s="152">
        <v>1</v>
      </c>
      <c r="G731" s="149"/>
    </row>
    <row r="732" spans="1:7" ht="15.75" x14ac:dyDescent="0.3">
      <c r="A732" s="148" t="s">
        <v>331</v>
      </c>
      <c r="B732" s="149">
        <v>1119058</v>
      </c>
      <c r="C732" s="148" t="s">
        <v>1006</v>
      </c>
      <c r="D732" s="150">
        <v>14.53</v>
      </c>
      <c r="E732" s="151" t="s">
        <v>7</v>
      </c>
      <c r="F732" s="152">
        <v>6</v>
      </c>
      <c r="G732" s="152">
        <v>1014</v>
      </c>
    </row>
    <row r="733" spans="1:7" ht="15.75" x14ac:dyDescent="0.3">
      <c r="A733" s="148" t="s">
        <v>331</v>
      </c>
      <c r="B733" s="149">
        <v>1119059</v>
      </c>
      <c r="C733" s="148" t="s">
        <v>1007</v>
      </c>
      <c r="D733" s="150">
        <v>16.88</v>
      </c>
      <c r="E733" s="151" t="s">
        <v>7</v>
      </c>
      <c r="F733" s="152">
        <v>6</v>
      </c>
      <c r="G733" s="152">
        <v>1014</v>
      </c>
    </row>
    <row r="734" spans="1:7" ht="15.75" x14ac:dyDescent="0.3">
      <c r="A734" s="148" t="s">
        <v>331</v>
      </c>
      <c r="B734" s="149">
        <v>1119060</v>
      </c>
      <c r="C734" s="148" t="s">
        <v>1008</v>
      </c>
      <c r="D734" s="150">
        <v>23.57</v>
      </c>
      <c r="E734" s="151" t="s">
        <v>7</v>
      </c>
      <c r="F734" s="152">
        <v>6</v>
      </c>
      <c r="G734" s="152">
        <v>762</v>
      </c>
    </row>
    <row r="735" spans="1:7" ht="15.75" x14ac:dyDescent="0.3">
      <c r="A735" s="148" t="s">
        <v>331</v>
      </c>
      <c r="B735" s="149">
        <v>1119061</v>
      </c>
      <c r="C735" s="148" t="s">
        <v>1009</v>
      </c>
      <c r="D735" s="150">
        <v>30.28</v>
      </c>
      <c r="E735" s="151" t="s">
        <v>7</v>
      </c>
      <c r="F735" s="152">
        <v>6</v>
      </c>
      <c r="G735" s="152">
        <v>546</v>
      </c>
    </row>
    <row r="736" spans="1:7" ht="15.75" x14ac:dyDescent="0.3">
      <c r="A736" s="148" t="s">
        <v>331</v>
      </c>
      <c r="B736" s="149">
        <v>1119062</v>
      </c>
      <c r="C736" s="148" t="s">
        <v>1010</v>
      </c>
      <c r="D736" s="150">
        <v>46.66</v>
      </c>
      <c r="E736" s="151" t="s">
        <v>7</v>
      </c>
      <c r="F736" s="152">
        <v>6</v>
      </c>
      <c r="G736" s="152">
        <v>546</v>
      </c>
    </row>
    <row r="737" spans="1:7" ht="15.75" x14ac:dyDescent="0.3">
      <c r="A737" s="148" t="s">
        <v>331</v>
      </c>
      <c r="B737" s="149">
        <v>1119063</v>
      </c>
      <c r="C737" s="148" t="s">
        <v>1011</v>
      </c>
      <c r="D737" s="150">
        <v>55.15</v>
      </c>
      <c r="E737" s="151" t="s">
        <v>7</v>
      </c>
      <c r="F737" s="152">
        <v>6</v>
      </c>
      <c r="G737" s="152">
        <v>366</v>
      </c>
    </row>
    <row r="738" spans="1:7" ht="15.75" x14ac:dyDescent="0.3">
      <c r="A738" s="148" t="s">
        <v>331</v>
      </c>
      <c r="B738" s="149">
        <v>1119064</v>
      </c>
      <c r="C738" s="148" t="s">
        <v>1012</v>
      </c>
      <c r="D738" s="150">
        <v>71</v>
      </c>
      <c r="E738" s="151" t="s">
        <v>7</v>
      </c>
      <c r="F738" s="152">
        <v>6</v>
      </c>
      <c r="G738" s="152">
        <v>366</v>
      </c>
    </row>
    <row r="739" spans="1:7" ht="15.75" x14ac:dyDescent="0.3">
      <c r="A739" s="148" t="s">
        <v>331</v>
      </c>
      <c r="B739" s="149">
        <v>1119065</v>
      </c>
      <c r="C739" s="148" t="s">
        <v>1013</v>
      </c>
      <c r="D739" s="150">
        <v>12.75</v>
      </c>
      <c r="E739" s="151" t="s">
        <v>9</v>
      </c>
      <c r="F739" s="152">
        <v>10</v>
      </c>
      <c r="G739" s="152">
        <v>100</v>
      </c>
    </row>
    <row r="740" spans="1:7" ht="15.75" x14ac:dyDescent="0.3">
      <c r="A740" s="148" t="s">
        <v>331</v>
      </c>
      <c r="B740" s="149">
        <v>1119066</v>
      </c>
      <c r="C740" s="148" t="s">
        <v>1014</v>
      </c>
      <c r="D740" s="150">
        <v>15.18</v>
      </c>
      <c r="E740" s="151" t="s">
        <v>9</v>
      </c>
      <c r="F740" s="152">
        <v>1</v>
      </c>
      <c r="G740" s="152">
        <v>80</v>
      </c>
    </row>
    <row r="741" spans="1:7" ht="15.75" x14ac:dyDescent="0.3">
      <c r="A741" s="148" t="s">
        <v>331</v>
      </c>
      <c r="B741" s="149">
        <v>1119067</v>
      </c>
      <c r="C741" s="148" t="s">
        <v>1015</v>
      </c>
      <c r="D741" s="150">
        <v>17.47</v>
      </c>
      <c r="E741" s="151" t="s">
        <v>9</v>
      </c>
      <c r="F741" s="152">
        <v>10</v>
      </c>
      <c r="G741" s="152">
        <v>60</v>
      </c>
    </row>
    <row r="742" spans="1:7" ht="15.75" x14ac:dyDescent="0.3">
      <c r="A742" s="148" t="s">
        <v>331</v>
      </c>
      <c r="B742" s="149">
        <v>1119068</v>
      </c>
      <c r="C742" s="148" t="s">
        <v>1016</v>
      </c>
      <c r="D742" s="150">
        <v>22.11</v>
      </c>
      <c r="E742" s="151" t="s">
        <v>9</v>
      </c>
      <c r="F742" s="152">
        <v>10</v>
      </c>
      <c r="G742" s="152">
        <v>30</v>
      </c>
    </row>
    <row r="743" spans="1:7" ht="15.75" x14ac:dyDescent="0.3">
      <c r="A743" s="148" t="s">
        <v>331</v>
      </c>
      <c r="B743" s="149">
        <v>1119069</v>
      </c>
      <c r="C743" s="148" t="s">
        <v>1017</v>
      </c>
      <c r="D743" s="150">
        <v>34.74</v>
      </c>
      <c r="E743" s="151" t="s">
        <v>9</v>
      </c>
      <c r="F743" s="152">
        <v>10</v>
      </c>
      <c r="G743" s="152">
        <v>20</v>
      </c>
    </row>
    <row r="744" spans="1:7" ht="15.75" x14ac:dyDescent="0.3">
      <c r="A744" s="148" t="s">
        <v>331</v>
      </c>
      <c r="B744" s="149">
        <v>1119070</v>
      </c>
      <c r="C744" s="148" t="s">
        <v>1018</v>
      </c>
      <c r="D744" s="150">
        <v>63.73</v>
      </c>
      <c r="E744" s="151" t="s">
        <v>9</v>
      </c>
      <c r="F744" s="152">
        <v>2</v>
      </c>
      <c r="G744" s="152">
        <v>8</v>
      </c>
    </row>
    <row r="745" spans="1:7" ht="15.75" x14ac:dyDescent="0.3">
      <c r="A745" s="148" t="s">
        <v>331</v>
      </c>
      <c r="B745" s="149">
        <v>1119071</v>
      </c>
      <c r="C745" s="148" t="s">
        <v>1019</v>
      </c>
      <c r="D745" s="150">
        <v>86.95</v>
      </c>
      <c r="E745" s="151" t="s">
        <v>9</v>
      </c>
      <c r="F745" s="152">
        <v>2</v>
      </c>
      <c r="G745" s="152">
        <v>4</v>
      </c>
    </row>
    <row r="746" spans="1:7" ht="15.75" x14ac:dyDescent="0.3">
      <c r="A746" s="148" t="s">
        <v>331</v>
      </c>
      <c r="B746" s="149">
        <v>1119072</v>
      </c>
      <c r="C746" s="148" t="s">
        <v>1020</v>
      </c>
      <c r="D746" s="150">
        <v>13.02</v>
      </c>
      <c r="E746" s="151" t="s">
        <v>9</v>
      </c>
      <c r="F746" s="152">
        <v>10</v>
      </c>
      <c r="G746" s="152">
        <v>100</v>
      </c>
    </row>
    <row r="747" spans="1:7" ht="15.75" x14ac:dyDescent="0.3">
      <c r="A747" s="148" t="s">
        <v>331</v>
      </c>
      <c r="B747" s="149">
        <v>1119073</v>
      </c>
      <c r="C747" s="148" t="s">
        <v>1021</v>
      </c>
      <c r="D747" s="150">
        <v>14.86</v>
      </c>
      <c r="E747" s="151" t="s">
        <v>9</v>
      </c>
      <c r="F747" s="152">
        <v>10</v>
      </c>
      <c r="G747" s="152">
        <v>80</v>
      </c>
    </row>
    <row r="748" spans="1:7" ht="15.75" x14ac:dyDescent="0.3">
      <c r="A748" s="148" t="s">
        <v>331</v>
      </c>
      <c r="B748" s="149">
        <v>1119074</v>
      </c>
      <c r="C748" s="148" t="s">
        <v>1022</v>
      </c>
      <c r="D748" s="150">
        <v>17.34</v>
      </c>
      <c r="E748" s="151" t="s">
        <v>9</v>
      </c>
      <c r="F748" s="152">
        <v>10</v>
      </c>
      <c r="G748" s="152">
        <v>60</v>
      </c>
    </row>
    <row r="749" spans="1:7" ht="15.75" x14ac:dyDescent="0.3">
      <c r="A749" s="148" t="s">
        <v>331</v>
      </c>
      <c r="B749" s="149">
        <v>1119075</v>
      </c>
      <c r="C749" s="148" t="s">
        <v>1023</v>
      </c>
      <c r="D749" s="150">
        <v>21.73</v>
      </c>
      <c r="E749" s="151" t="s">
        <v>9</v>
      </c>
      <c r="F749" s="152">
        <v>10</v>
      </c>
      <c r="G749" s="152">
        <v>30</v>
      </c>
    </row>
    <row r="750" spans="1:7" ht="15.75" x14ac:dyDescent="0.3">
      <c r="A750" s="148" t="s">
        <v>331</v>
      </c>
      <c r="B750" s="149">
        <v>1119076</v>
      </c>
      <c r="C750" s="148" t="s">
        <v>1024</v>
      </c>
      <c r="D750" s="150">
        <v>34.020000000000003</v>
      </c>
      <c r="E750" s="151" t="s">
        <v>9</v>
      </c>
      <c r="F750" s="152">
        <v>10</v>
      </c>
      <c r="G750" s="152">
        <v>20</v>
      </c>
    </row>
    <row r="751" spans="1:7" ht="15.75" x14ac:dyDescent="0.3">
      <c r="A751" s="148" t="s">
        <v>331</v>
      </c>
      <c r="B751" s="149">
        <v>1119077</v>
      </c>
      <c r="C751" s="148" t="s">
        <v>1025</v>
      </c>
      <c r="D751" s="150">
        <v>60.66</v>
      </c>
      <c r="E751" s="151" t="s">
        <v>9</v>
      </c>
      <c r="F751" s="152">
        <v>2</v>
      </c>
      <c r="G751" s="152">
        <v>8</v>
      </c>
    </row>
    <row r="752" spans="1:7" ht="15.75" x14ac:dyDescent="0.3">
      <c r="A752" s="148" t="s">
        <v>331</v>
      </c>
      <c r="B752" s="149">
        <v>1119078</v>
      </c>
      <c r="C752" s="148" t="s">
        <v>1026</v>
      </c>
      <c r="D752" s="150">
        <v>84.4</v>
      </c>
      <c r="E752" s="151" t="s">
        <v>9</v>
      </c>
      <c r="F752" s="152">
        <v>2</v>
      </c>
      <c r="G752" s="152">
        <v>4</v>
      </c>
    </row>
    <row r="753" spans="1:7" ht="15.75" x14ac:dyDescent="0.3">
      <c r="A753" s="148" t="s">
        <v>331</v>
      </c>
      <c r="B753" s="149">
        <v>1119079</v>
      </c>
      <c r="C753" s="148" t="s">
        <v>1027</v>
      </c>
      <c r="D753" s="150">
        <v>17.34</v>
      </c>
      <c r="E753" s="151" t="s">
        <v>9</v>
      </c>
      <c r="F753" s="152">
        <v>10</v>
      </c>
      <c r="G753" s="152">
        <v>100</v>
      </c>
    </row>
    <row r="754" spans="1:7" ht="15.75" x14ac:dyDescent="0.3">
      <c r="A754" s="148" t="s">
        <v>331</v>
      </c>
      <c r="B754" s="149">
        <v>1119080</v>
      </c>
      <c r="C754" s="148" t="s">
        <v>1028</v>
      </c>
      <c r="D754" s="150">
        <v>18.510000000000002</v>
      </c>
      <c r="E754" s="151" t="s">
        <v>9</v>
      </c>
      <c r="F754" s="152">
        <v>10</v>
      </c>
      <c r="G754" s="152">
        <v>100</v>
      </c>
    </row>
    <row r="755" spans="1:7" ht="15.75" x14ac:dyDescent="0.3">
      <c r="A755" s="148" t="s">
        <v>331</v>
      </c>
      <c r="B755" s="149">
        <v>1119081</v>
      </c>
      <c r="C755" s="148" t="s">
        <v>1029</v>
      </c>
      <c r="D755" s="150">
        <v>21.6</v>
      </c>
      <c r="E755" s="151" t="s">
        <v>9</v>
      </c>
      <c r="F755" s="152">
        <v>10</v>
      </c>
      <c r="G755" s="152">
        <v>60</v>
      </c>
    </row>
    <row r="756" spans="1:7" ht="15.75" x14ac:dyDescent="0.3">
      <c r="A756" s="148" t="s">
        <v>331</v>
      </c>
      <c r="B756" s="149">
        <v>1119082</v>
      </c>
      <c r="C756" s="148" t="s">
        <v>1030</v>
      </c>
      <c r="D756" s="150">
        <v>25.2</v>
      </c>
      <c r="E756" s="151" t="s">
        <v>9</v>
      </c>
      <c r="F756" s="152">
        <v>10</v>
      </c>
      <c r="G756" s="152">
        <v>40</v>
      </c>
    </row>
    <row r="757" spans="1:7" ht="15.75" x14ac:dyDescent="0.3">
      <c r="A757" s="148" t="s">
        <v>331</v>
      </c>
      <c r="B757" s="149">
        <v>1119083</v>
      </c>
      <c r="C757" s="148" t="s">
        <v>1031</v>
      </c>
      <c r="D757" s="150">
        <v>32.380000000000003</v>
      </c>
      <c r="E757" s="151" t="s">
        <v>9</v>
      </c>
      <c r="F757" s="152">
        <v>10</v>
      </c>
      <c r="G757" s="152">
        <v>20</v>
      </c>
    </row>
    <row r="758" spans="1:7" ht="15.75" x14ac:dyDescent="0.3">
      <c r="A758" s="148" t="s">
        <v>331</v>
      </c>
      <c r="B758" s="149">
        <v>1119084</v>
      </c>
      <c r="C758" s="148" t="s">
        <v>1032</v>
      </c>
      <c r="D758" s="150">
        <v>52.15</v>
      </c>
      <c r="E758" s="151" t="s">
        <v>9</v>
      </c>
      <c r="F758" s="152">
        <v>4</v>
      </c>
      <c r="G758" s="152">
        <v>12</v>
      </c>
    </row>
    <row r="759" spans="1:7" ht="15.75" x14ac:dyDescent="0.3">
      <c r="A759" s="148" t="s">
        <v>331</v>
      </c>
      <c r="B759" s="149">
        <v>1119085</v>
      </c>
      <c r="C759" s="148" t="s">
        <v>1033</v>
      </c>
      <c r="D759" s="150">
        <v>67.650000000000006</v>
      </c>
      <c r="E759" s="151" t="s">
        <v>9</v>
      </c>
      <c r="F759" s="152">
        <v>2</v>
      </c>
      <c r="G759" s="152">
        <v>8</v>
      </c>
    </row>
    <row r="760" spans="1:7" ht="15.75" x14ac:dyDescent="0.3">
      <c r="A760" s="148" t="s">
        <v>331</v>
      </c>
      <c r="B760" s="149">
        <v>1119086</v>
      </c>
      <c r="C760" s="148" t="s">
        <v>1034</v>
      </c>
      <c r="D760" s="150">
        <v>17.53</v>
      </c>
      <c r="E760" s="151" t="s">
        <v>9</v>
      </c>
      <c r="F760" s="152">
        <v>10</v>
      </c>
      <c r="G760" s="152">
        <v>120</v>
      </c>
    </row>
    <row r="761" spans="1:7" ht="15.75" x14ac:dyDescent="0.3">
      <c r="A761" s="148" t="s">
        <v>331</v>
      </c>
      <c r="B761" s="149">
        <v>1119087</v>
      </c>
      <c r="C761" s="148" t="s">
        <v>1035</v>
      </c>
      <c r="D761" s="150">
        <v>18.579999999999998</v>
      </c>
      <c r="E761" s="151" t="s">
        <v>9</v>
      </c>
      <c r="F761" s="152">
        <v>10</v>
      </c>
      <c r="G761" s="152">
        <v>100</v>
      </c>
    </row>
    <row r="762" spans="1:7" ht="15.75" x14ac:dyDescent="0.3">
      <c r="A762" s="148" t="s">
        <v>331</v>
      </c>
      <c r="B762" s="149">
        <v>1119088</v>
      </c>
      <c r="C762" s="148" t="s">
        <v>1036</v>
      </c>
      <c r="D762" s="150">
        <v>21.4</v>
      </c>
      <c r="E762" s="151" t="s">
        <v>9</v>
      </c>
      <c r="F762" s="152">
        <v>10</v>
      </c>
      <c r="G762" s="152">
        <v>60</v>
      </c>
    </row>
    <row r="763" spans="1:7" ht="15.75" x14ac:dyDescent="0.3">
      <c r="A763" s="148" t="s">
        <v>331</v>
      </c>
      <c r="B763" s="149">
        <v>1119089</v>
      </c>
      <c r="C763" s="148" t="s">
        <v>1037</v>
      </c>
      <c r="D763" s="150">
        <v>25.12</v>
      </c>
      <c r="E763" s="151" t="s">
        <v>9</v>
      </c>
      <c r="F763" s="152">
        <v>10</v>
      </c>
      <c r="G763" s="152">
        <v>40</v>
      </c>
    </row>
    <row r="764" spans="1:7" ht="15.75" x14ac:dyDescent="0.3">
      <c r="A764" s="148" t="s">
        <v>331</v>
      </c>
      <c r="B764" s="149">
        <v>1119090</v>
      </c>
      <c r="C764" s="148" t="s">
        <v>1038</v>
      </c>
      <c r="D764" s="150">
        <v>30.6</v>
      </c>
      <c r="E764" s="151" t="s">
        <v>9</v>
      </c>
      <c r="F764" s="152">
        <v>10</v>
      </c>
      <c r="G764" s="152">
        <v>20</v>
      </c>
    </row>
    <row r="765" spans="1:7" ht="15.75" x14ac:dyDescent="0.3">
      <c r="A765" s="148" t="s">
        <v>331</v>
      </c>
      <c r="B765" s="149">
        <v>1119091</v>
      </c>
      <c r="C765" s="148" t="s">
        <v>1039</v>
      </c>
      <c r="D765" s="150">
        <v>49.26</v>
      </c>
      <c r="E765" s="151" t="s">
        <v>9</v>
      </c>
      <c r="F765" s="152">
        <v>4</v>
      </c>
      <c r="G765" s="152">
        <v>12</v>
      </c>
    </row>
    <row r="766" spans="1:7" ht="15.75" x14ac:dyDescent="0.3">
      <c r="A766" s="148" t="s">
        <v>331</v>
      </c>
      <c r="B766" s="149">
        <v>1119092</v>
      </c>
      <c r="C766" s="148" t="s">
        <v>1040</v>
      </c>
      <c r="D766" s="150">
        <v>64.19</v>
      </c>
      <c r="E766" s="151" t="s">
        <v>9</v>
      </c>
      <c r="F766" s="152">
        <v>2</v>
      </c>
      <c r="G766" s="152">
        <v>8</v>
      </c>
    </row>
    <row r="767" spans="1:7" ht="15.75" x14ac:dyDescent="0.3">
      <c r="A767" s="148" t="s">
        <v>331</v>
      </c>
      <c r="B767" s="149">
        <v>1119166</v>
      </c>
      <c r="C767" s="148" t="s">
        <v>1041</v>
      </c>
      <c r="D767" s="150">
        <v>8.98</v>
      </c>
      <c r="E767" s="151" t="s">
        <v>9</v>
      </c>
      <c r="F767" s="152">
        <v>20</v>
      </c>
      <c r="G767" s="152">
        <v>160</v>
      </c>
    </row>
    <row r="768" spans="1:7" ht="15.75" x14ac:dyDescent="0.3">
      <c r="A768" s="148" t="s">
        <v>331</v>
      </c>
      <c r="B768" s="149">
        <v>1119167</v>
      </c>
      <c r="C768" s="148" t="s">
        <v>1042</v>
      </c>
      <c r="D768" s="150">
        <v>9.6300000000000008</v>
      </c>
      <c r="E768" s="151" t="s">
        <v>9</v>
      </c>
      <c r="F768" s="152">
        <v>10</v>
      </c>
      <c r="G768" s="152">
        <v>100</v>
      </c>
    </row>
    <row r="769" spans="1:7" ht="15.75" x14ac:dyDescent="0.3">
      <c r="A769" s="148" t="s">
        <v>331</v>
      </c>
      <c r="B769" s="149">
        <v>1119168</v>
      </c>
      <c r="C769" s="148" t="s">
        <v>1043</v>
      </c>
      <c r="D769" s="150">
        <v>11.65</v>
      </c>
      <c r="E769" s="151" t="s">
        <v>9</v>
      </c>
      <c r="F769" s="152">
        <v>10</v>
      </c>
      <c r="G769" s="152">
        <v>80</v>
      </c>
    </row>
    <row r="770" spans="1:7" ht="15.75" x14ac:dyDescent="0.3">
      <c r="A770" s="148" t="s">
        <v>331</v>
      </c>
      <c r="B770" s="149">
        <v>1119169</v>
      </c>
      <c r="C770" s="148" t="s">
        <v>1044</v>
      </c>
      <c r="D770" s="150">
        <v>13.94</v>
      </c>
      <c r="E770" s="151" t="s">
        <v>9</v>
      </c>
      <c r="F770" s="152">
        <v>10</v>
      </c>
      <c r="G770" s="152">
        <v>60</v>
      </c>
    </row>
    <row r="771" spans="1:7" ht="15.75" x14ac:dyDescent="0.3">
      <c r="A771" s="148" t="s">
        <v>331</v>
      </c>
      <c r="B771" s="149">
        <v>1119170</v>
      </c>
      <c r="C771" s="148" t="s">
        <v>1045</v>
      </c>
      <c r="D771" s="150">
        <v>16.22</v>
      </c>
      <c r="E771" s="151" t="s">
        <v>9</v>
      </c>
      <c r="F771" s="152">
        <v>10</v>
      </c>
      <c r="G771" s="152">
        <v>40</v>
      </c>
    </row>
    <row r="772" spans="1:7" ht="15.75" x14ac:dyDescent="0.3">
      <c r="A772" s="148" t="s">
        <v>331</v>
      </c>
      <c r="B772" s="149">
        <v>1119171</v>
      </c>
      <c r="C772" s="148" t="s">
        <v>1046</v>
      </c>
      <c r="D772" s="150">
        <v>21</v>
      </c>
      <c r="E772" s="151" t="s">
        <v>9</v>
      </c>
      <c r="F772" s="152">
        <v>4</v>
      </c>
      <c r="G772" s="152">
        <v>24</v>
      </c>
    </row>
    <row r="773" spans="1:7" ht="15.75" x14ac:dyDescent="0.3">
      <c r="A773" s="148" t="s">
        <v>331</v>
      </c>
      <c r="B773" s="149">
        <v>1119172</v>
      </c>
      <c r="C773" s="148" t="s">
        <v>1047</v>
      </c>
      <c r="D773" s="150">
        <v>26.51</v>
      </c>
      <c r="E773" s="151" t="s">
        <v>9</v>
      </c>
      <c r="F773" s="152">
        <v>4</v>
      </c>
      <c r="G773" s="152">
        <v>16</v>
      </c>
    </row>
    <row r="774" spans="1:7" ht="15.75" x14ac:dyDescent="0.3">
      <c r="A774" s="148" t="s">
        <v>331</v>
      </c>
      <c r="B774" s="149">
        <v>1119173</v>
      </c>
      <c r="C774" s="148" t="s">
        <v>1048</v>
      </c>
      <c r="D774" s="150">
        <v>10.53</v>
      </c>
      <c r="E774" s="151" t="s">
        <v>9</v>
      </c>
      <c r="F774" s="152">
        <v>20</v>
      </c>
      <c r="G774" s="152">
        <v>200</v>
      </c>
    </row>
    <row r="775" spans="1:7" ht="15.75" x14ac:dyDescent="0.3">
      <c r="A775" s="148" t="s">
        <v>331</v>
      </c>
      <c r="B775" s="149">
        <v>1119174</v>
      </c>
      <c r="C775" s="148" t="s">
        <v>1049</v>
      </c>
      <c r="D775" s="150">
        <v>11.45</v>
      </c>
      <c r="E775" s="151" t="s">
        <v>9</v>
      </c>
      <c r="F775" s="152">
        <v>10</v>
      </c>
      <c r="G775" s="152">
        <v>100</v>
      </c>
    </row>
    <row r="776" spans="1:7" ht="15.75" x14ac:dyDescent="0.3">
      <c r="A776" s="148" t="s">
        <v>331</v>
      </c>
      <c r="B776" s="149">
        <v>1119175</v>
      </c>
      <c r="C776" s="148" t="s">
        <v>1050</v>
      </c>
      <c r="D776" s="150">
        <v>12.17</v>
      </c>
      <c r="E776" s="151" t="s">
        <v>9</v>
      </c>
      <c r="F776" s="152">
        <v>10</v>
      </c>
      <c r="G776" s="152">
        <v>100</v>
      </c>
    </row>
    <row r="777" spans="1:7" ht="15.75" x14ac:dyDescent="0.3">
      <c r="A777" s="148" t="s">
        <v>331</v>
      </c>
      <c r="B777" s="149">
        <v>1119176</v>
      </c>
      <c r="C777" s="148" t="s">
        <v>1051</v>
      </c>
      <c r="D777" s="150">
        <v>14.71</v>
      </c>
      <c r="E777" s="151" t="s">
        <v>9</v>
      </c>
      <c r="F777" s="152">
        <v>10</v>
      </c>
      <c r="G777" s="152">
        <v>80</v>
      </c>
    </row>
    <row r="778" spans="1:7" ht="15.75" x14ac:dyDescent="0.3">
      <c r="A778" s="148" t="s">
        <v>331</v>
      </c>
      <c r="B778" s="149">
        <v>1119177</v>
      </c>
      <c r="C778" s="148" t="s">
        <v>1052</v>
      </c>
      <c r="D778" s="150">
        <v>14.53</v>
      </c>
      <c r="E778" s="151" t="s">
        <v>9</v>
      </c>
      <c r="F778" s="152">
        <v>10</v>
      </c>
      <c r="G778" s="152">
        <v>80</v>
      </c>
    </row>
    <row r="779" spans="1:7" ht="15.75" x14ac:dyDescent="0.3">
      <c r="A779" s="148" t="s">
        <v>331</v>
      </c>
      <c r="B779" s="149">
        <v>1119178</v>
      </c>
      <c r="C779" s="148" t="s">
        <v>1053</v>
      </c>
      <c r="D779" s="150">
        <v>15.03</v>
      </c>
      <c r="E779" s="151" t="s">
        <v>9</v>
      </c>
      <c r="F779" s="152">
        <v>10</v>
      </c>
      <c r="G779" s="152">
        <v>80</v>
      </c>
    </row>
    <row r="780" spans="1:7" ht="15.75" x14ac:dyDescent="0.3">
      <c r="A780" s="148" t="s">
        <v>331</v>
      </c>
      <c r="B780" s="149">
        <v>1119179</v>
      </c>
      <c r="C780" s="148" t="s">
        <v>1054</v>
      </c>
      <c r="D780" s="150">
        <v>28.86</v>
      </c>
      <c r="E780" s="151" t="s">
        <v>9</v>
      </c>
      <c r="F780" s="152">
        <v>10</v>
      </c>
      <c r="G780" s="152">
        <v>60</v>
      </c>
    </row>
    <row r="781" spans="1:7" ht="15.75" x14ac:dyDescent="0.3">
      <c r="A781" s="148" t="s">
        <v>331</v>
      </c>
      <c r="B781" s="149">
        <v>1119180</v>
      </c>
      <c r="C781" s="148" t="s">
        <v>1055</v>
      </c>
      <c r="D781" s="150">
        <v>18.850000000000001</v>
      </c>
      <c r="E781" s="151" t="s">
        <v>9</v>
      </c>
      <c r="F781" s="152">
        <v>10</v>
      </c>
      <c r="G781" s="152">
        <v>60</v>
      </c>
    </row>
    <row r="782" spans="1:7" ht="15.75" x14ac:dyDescent="0.3">
      <c r="A782" s="148" t="s">
        <v>331</v>
      </c>
      <c r="B782" s="149">
        <v>1119181</v>
      </c>
      <c r="C782" s="148" t="s">
        <v>1056</v>
      </c>
      <c r="D782" s="150">
        <v>20.67</v>
      </c>
      <c r="E782" s="151" t="s">
        <v>9</v>
      </c>
      <c r="F782" s="152">
        <v>10</v>
      </c>
      <c r="G782" s="152">
        <v>60</v>
      </c>
    </row>
    <row r="783" spans="1:7" ht="15.75" x14ac:dyDescent="0.3">
      <c r="A783" s="148" t="s">
        <v>331</v>
      </c>
      <c r="B783" s="149">
        <v>1119182</v>
      </c>
      <c r="C783" s="148" t="s">
        <v>1057</v>
      </c>
      <c r="D783" s="150">
        <v>36.64</v>
      </c>
      <c r="E783" s="151" t="s">
        <v>9</v>
      </c>
      <c r="F783" s="152">
        <v>10</v>
      </c>
      <c r="G783" s="152">
        <v>50</v>
      </c>
    </row>
    <row r="784" spans="1:7" ht="15.75" x14ac:dyDescent="0.3">
      <c r="A784" s="148" t="s">
        <v>331</v>
      </c>
      <c r="B784" s="149">
        <v>1119183</v>
      </c>
      <c r="C784" s="148" t="s">
        <v>1058</v>
      </c>
      <c r="D784" s="150">
        <v>36.64</v>
      </c>
      <c r="E784" s="151" t="s">
        <v>9</v>
      </c>
      <c r="F784" s="152">
        <v>5</v>
      </c>
      <c r="G784" s="152">
        <v>30</v>
      </c>
    </row>
    <row r="785" spans="1:7" ht="15.75" x14ac:dyDescent="0.3">
      <c r="A785" s="148" t="s">
        <v>331</v>
      </c>
      <c r="B785" s="149">
        <v>1119184</v>
      </c>
      <c r="C785" s="148" t="s">
        <v>1059</v>
      </c>
      <c r="D785" s="150">
        <v>37.56</v>
      </c>
      <c r="E785" s="151" t="s">
        <v>9</v>
      </c>
      <c r="F785" s="152">
        <v>5</v>
      </c>
      <c r="G785" s="152">
        <v>30</v>
      </c>
    </row>
    <row r="786" spans="1:7" ht="15.75" x14ac:dyDescent="0.3">
      <c r="A786" s="148" t="s">
        <v>331</v>
      </c>
      <c r="B786" s="149">
        <v>1119185</v>
      </c>
      <c r="C786" s="148" t="s">
        <v>1060</v>
      </c>
      <c r="D786" s="150">
        <v>37.56</v>
      </c>
      <c r="E786" s="151" t="s">
        <v>9</v>
      </c>
      <c r="F786" s="152">
        <v>5</v>
      </c>
      <c r="G786" s="152">
        <v>30</v>
      </c>
    </row>
    <row r="787" spans="1:7" ht="15.75" x14ac:dyDescent="0.3">
      <c r="A787" s="148" t="s">
        <v>331</v>
      </c>
      <c r="B787" s="149">
        <v>1119186</v>
      </c>
      <c r="C787" s="148" t="s">
        <v>1061</v>
      </c>
      <c r="D787" s="150">
        <v>61.84</v>
      </c>
      <c r="E787" s="151" t="s">
        <v>9</v>
      </c>
      <c r="F787" s="152">
        <v>5</v>
      </c>
      <c r="G787" s="152">
        <v>20</v>
      </c>
    </row>
    <row r="788" spans="1:7" ht="15.75" x14ac:dyDescent="0.3">
      <c r="A788" s="148" t="s">
        <v>331</v>
      </c>
      <c r="B788" s="149">
        <v>1119187</v>
      </c>
      <c r="C788" s="148" t="s">
        <v>1062</v>
      </c>
      <c r="D788" s="150">
        <v>43.64</v>
      </c>
      <c r="E788" s="151" t="s">
        <v>9</v>
      </c>
      <c r="F788" s="152">
        <v>5</v>
      </c>
      <c r="G788" s="152">
        <v>15</v>
      </c>
    </row>
    <row r="789" spans="1:7" ht="15.75" x14ac:dyDescent="0.3">
      <c r="A789" s="148" t="s">
        <v>331</v>
      </c>
      <c r="B789" s="149">
        <v>1119188</v>
      </c>
      <c r="C789" s="148" t="s">
        <v>1063</v>
      </c>
      <c r="D789" s="150">
        <v>43.64</v>
      </c>
      <c r="E789" s="151" t="s">
        <v>9</v>
      </c>
      <c r="F789" s="152">
        <v>5</v>
      </c>
      <c r="G789" s="152">
        <v>20</v>
      </c>
    </row>
    <row r="790" spans="1:7" ht="15.75" x14ac:dyDescent="0.3">
      <c r="A790" s="148" t="s">
        <v>331</v>
      </c>
      <c r="B790" s="149">
        <v>1119093</v>
      </c>
      <c r="C790" s="148" t="s">
        <v>1064</v>
      </c>
      <c r="D790" s="150">
        <v>22.65</v>
      </c>
      <c r="E790" s="151" t="s">
        <v>9</v>
      </c>
      <c r="F790" s="152">
        <v>10</v>
      </c>
      <c r="G790" s="152">
        <v>80</v>
      </c>
    </row>
    <row r="791" spans="1:7" ht="15.75" x14ac:dyDescent="0.3">
      <c r="A791" s="148" t="s">
        <v>331</v>
      </c>
      <c r="B791" s="149">
        <v>1119094</v>
      </c>
      <c r="C791" s="148" t="s">
        <v>1065</v>
      </c>
      <c r="D791" s="150">
        <v>23.36</v>
      </c>
      <c r="E791" s="151" t="s">
        <v>9</v>
      </c>
      <c r="F791" s="152">
        <v>10</v>
      </c>
      <c r="G791" s="152">
        <v>60</v>
      </c>
    </row>
    <row r="792" spans="1:7" ht="15.75" x14ac:dyDescent="0.3">
      <c r="A792" s="148" t="s">
        <v>331</v>
      </c>
      <c r="B792" s="149">
        <v>1119095</v>
      </c>
      <c r="C792" s="148" t="s">
        <v>1066</v>
      </c>
      <c r="D792" s="150">
        <v>26.64</v>
      </c>
      <c r="E792" s="151" t="s">
        <v>9</v>
      </c>
      <c r="F792" s="152">
        <v>10</v>
      </c>
      <c r="G792" s="152">
        <v>50</v>
      </c>
    </row>
    <row r="793" spans="1:7" ht="15.75" x14ac:dyDescent="0.3">
      <c r="A793" s="148" t="s">
        <v>331</v>
      </c>
      <c r="B793" s="149">
        <v>1119096</v>
      </c>
      <c r="C793" s="148" t="s">
        <v>1067</v>
      </c>
      <c r="D793" s="150">
        <v>31.35</v>
      </c>
      <c r="E793" s="151" t="s">
        <v>9</v>
      </c>
      <c r="F793" s="152">
        <v>10</v>
      </c>
      <c r="G793" s="152">
        <v>30</v>
      </c>
    </row>
    <row r="794" spans="1:7" ht="15.75" x14ac:dyDescent="0.3">
      <c r="A794" s="148" t="s">
        <v>331</v>
      </c>
      <c r="B794" s="149">
        <v>1119097</v>
      </c>
      <c r="C794" s="148" t="s">
        <v>1068</v>
      </c>
      <c r="D794" s="150">
        <v>42.54</v>
      </c>
      <c r="E794" s="151" t="s">
        <v>9</v>
      </c>
      <c r="F794" s="152">
        <v>10</v>
      </c>
      <c r="G794" s="152">
        <v>20</v>
      </c>
    </row>
    <row r="795" spans="1:7" ht="15.75" x14ac:dyDescent="0.3">
      <c r="A795" s="148" t="s">
        <v>331</v>
      </c>
      <c r="B795" s="149">
        <v>1119098</v>
      </c>
      <c r="C795" s="148" t="s">
        <v>1069</v>
      </c>
      <c r="D795" s="150">
        <v>59.47</v>
      </c>
      <c r="E795" s="151" t="s">
        <v>9</v>
      </c>
      <c r="F795" s="152">
        <v>4</v>
      </c>
      <c r="G795" s="152">
        <v>12</v>
      </c>
    </row>
    <row r="796" spans="1:7" ht="15.75" x14ac:dyDescent="0.3">
      <c r="A796" s="148" t="s">
        <v>331</v>
      </c>
      <c r="B796" s="149">
        <v>1119099</v>
      </c>
      <c r="C796" s="148" t="s">
        <v>1070</v>
      </c>
      <c r="D796" s="150">
        <v>69.42</v>
      </c>
      <c r="E796" s="151" t="s">
        <v>9</v>
      </c>
      <c r="F796" s="152">
        <v>2</v>
      </c>
      <c r="G796" s="152">
        <v>6</v>
      </c>
    </row>
    <row r="797" spans="1:7" ht="15.75" x14ac:dyDescent="0.3">
      <c r="A797" s="148" t="s">
        <v>331</v>
      </c>
      <c r="B797" s="149">
        <v>1119100</v>
      </c>
      <c r="C797" s="148" t="s">
        <v>1071</v>
      </c>
      <c r="D797" s="150">
        <v>26.42</v>
      </c>
      <c r="E797" s="151" t="s">
        <v>9</v>
      </c>
      <c r="F797" s="152">
        <v>10</v>
      </c>
      <c r="G797" s="152">
        <v>50</v>
      </c>
    </row>
    <row r="798" spans="1:7" ht="15.75" x14ac:dyDescent="0.3">
      <c r="A798" s="148" t="s">
        <v>331</v>
      </c>
      <c r="B798" s="149">
        <v>1119101</v>
      </c>
      <c r="C798" s="148" t="s">
        <v>1072</v>
      </c>
      <c r="D798" s="150">
        <v>26.42</v>
      </c>
      <c r="E798" s="151" t="s">
        <v>9</v>
      </c>
      <c r="F798" s="152">
        <v>10</v>
      </c>
      <c r="G798" s="152">
        <v>50</v>
      </c>
    </row>
    <row r="799" spans="1:7" ht="15.75" x14ac:dyDescent="0.3">
      <c r="A799" s="148" t="s">
        <v>331</v>
      </c>
      <c r="B799" s="149">
        <v>1119102</v>
      </c>
      <c r="C799" s="148" t="s">
        <v>1073</v>
      </c>
      <c r="D799" s="150">
        <v>26.42</v>
      </c>
      <c r="E799" s="151" t="s">
        <v>9</v>
      </c>
      <c r="F799" s="152">
        <v>10</v>
      </c>
      <c r="G799" s="152">
        <v>50</v>
      </c>
    </row>
    <row r="800" spans="1:7" ht="15.75" x14ac:dyDescent="0.3">
      <c r="A800" s="148" t="s">
        <v>331</v>
      </c>
      <c r="B800" s="149">
        <v>1119103</v>
      </c>
      <c r="C800" s="148" t="s">
        <v>1074</v>
      </c>
      <c r="D800" s="150">
        <v>26.42</v>
      </c>
      <c r="E800" s="151" t="s">
        <v>9</v>
      </c>
      <c r="F800" s="152">
        <v>10</v>
      </c>
      <c r="G800" s="152">
        <v>30</v>
      </c>
    </row>
    <row r="801" spans="1:7" ht="15.75" x14ac:dyDescent="0.3">
      <c r="A801" s="148" t="s">
        <v>331</v>
      </c>
      <c r="B801" s="149">
        <v>1119104</v>
      </c>
      <c r="C801" s="148" t="s">
        <v>1075</v>
      </c>
      <c r="D801" s="150">
        <v>28.07</v>
      </c>
      <c r="E801" s="151" t="s">
        <v>9</v>
      </c>
      <c r="F801" s="152">
        <v>10</v>
      </c>
      <c r="G801" s="152">
        <v>30</v>
      </c>
    </row>
    <row r="802" spans="1:7" ht="15.75" x14ac:dyDescent="0.3">
      <c r="A802" s="148" t="s">
        <v>331</v>
      </c>
      <c r="B802" s="149">
        <v>1119105</v>
      </c>
      <c r="C802" s="148" t="s">
        <v>1076</v>
      </c>
      <c r="D802" s="150">
        <v>29.57</v>
      </c>
      <c r="E802" s="151" t="s">
        <v>9</v>
      </c>
      <c r="F802" s="152">
        <v>10</v>
      </c>
      <c r="G802" s="152">
        <v>30</v>
      </c>
    </row>
    <row r="803" spans="1:7" ht="15.75" x14ac:dyDescent="0.3">
      <c r="A803" s="148" t="s">
        <v>331</v>
      </c>
      <c r="B803" s="149">
        <v>1119106</v>
      </c>
      <c r="C803" s="148" t="s">
        <v>1077</v>
      </c>
      <c r="D803" s="150">
        <v>33.56</v>
      </c>
      <c r="E803" s="151" t="s">
        <v>9</v>
      </c>
      <c r="F803" s="152">
        <v>10</v>
      </c>
      <c r="G803" s="152">
        <v>20</v>
      </c>
    </row>
    <row r="804" spans="1:7" ht="15.75" x14ac:dyDescent="0.3">
      <c r="A804" s="148" t="s">
        <v>331</v>
      </c>
      <c r="B804" s="149">
        <v>1119107</v>
      </c>
      <c r="C804" s="148" t="s">
        <v>1078</v>
      </c>
      <c r="D804" s="150">
        <v>33.89</v>
      </c>
      <c r="E804" s="151" t="s">
        <v>9</v>
      </c>
      <c r="F804" s="152">
        <v>10</v>
      </c>
      <c r="G804" s="152">
        <v>20</v>
      </c>
    </row>
    <row r="805" spans="1:7" ht="15.75" x14ac:dyDescent="0.3">
      <c r="A805" s="148" t="s">
        <v>331</v>
      </c>
      <c r="B805" s="149">
        <v>1119108</v>
      </c>
      <c r="C805" s="148" t="s">
        <v>1079</v>
      </c>
      <c r="D805" s="150">
        <v>35.590000000000003</v>
      </c>
      <c r="E805" s="151" t="s">
        <v>9</v>
      </c>
      <c r="F805" s="152">
        <v>10</v>
      </c>
      <c r="G805" s="152">
        <v>20</v>
      </c>
    </row>
    <row r="806" spans="1:7" ht="15.75" x14ac:dyDescent="0.3">
      <c r="A806" s="148" t="s">
        <v>331</v>
      </c>
      <c r="B806" s="149">
        <v>1119109</v>
      </c>
      <c r="C806" s="148" t="s">
        <v>1080</v>
      </c>
      <c r="D806" s="150">
        <v>37.090000000000003</v>
      </c>
      <c r="E806" s="151" t="s">
        <v>9</v>
      </c>
      <c r="F806" s="152">
        <v>10</v>
      </c>
      <c r="G806" s="152">
        <v>20</v>
      </c>
    </row>
    <row r="807" spans="1:7" ht="15.75" x14ac:dyDescent="0.3">
      <c r="A807" s="148" t="s">
        <v>331</v>
      </c>
      <c r="B807" s="149">
        <v>1119110</v>
      </c>
      <c r="C807" s="148" t="s">
        <v>1081</v>
      </c>
      <c r="D807" s="150">
        <v>47.96</v>
      </c>
      <c r="E807" s="151" t="s">
        <v>9</v>
      </c>
      <c r="F807" s="152">
        <v>4</v>
      </c>
      <c r="G807" s="152">
        <v>12</v>
      </c>
    </row>
    <row r="808" spans="1:7" ht="15.75" x14ac:dyDescent="0.3">
      <c r="A808" s="148" t="s">
        <v>331</v>
      </c>
      <c r="B808" s="149">
        <v>1119111</v>
      </c>
      <c r="C808" s="148" t="s">
        <v>1082</v>
      </c>
      <c r="D808" s="150">
        <v>49.65</v>
      </c>
      <c r="E808" s="151" t="s">
        <v>9</v>
      </c>
      <c r="F808" s="152">
        <v>4</v>
      </c>
      <c r="G808" s="152">
        <v>12</v>
      </c>
    </row>
    <row r="809" spans="1:7" ht="15.75" x14ac:dyDescent="0.3">
      <c r="A809" s="148" t="s">
        <v>331</v>
      </c>
      <c r="B809" s="149">
        <v>1119112</v>
      </c>
      <c r="C809" s="148" t="s">
        <v>1083</v>
      </c>
      <c r="D809" s="150">
        <v>50.84</v>
      </c>
      <c r="E809" s="151" t="s">
        <v>9</v>
      </c>
      <c r="F809" s="152">
        <v>4</v>
      </c>
      <c r="G809" s="152">
        <v>12</v>
      </c>
    </row>
    <row r="810" spans="1:7" ht="15.75" x14ac:dyDescent="0.3">
      <c r="A810" s="148" t="s">
        <v>331</v>
      </c>
      <c r="B810" s="149">
        <v>1119113</v>
      </c>
      <c r="C810" s="148" t="s">
        <v>1084</v>
      </c>
      <c r="D810" s="150">
        <v>54.24</v>
      </c>
      <c r="E810" s="151" t="s">
        <v>9</v>
      </c>
      <c r="F810" s="152">
        <v>4</v>
      </c>
      <c r="G810" s="152">
        <v>12</v>
      </c>
    </row>
    <row r="811" spans="1:7" ht="15.75" x14ac:dyDescent="0.3">
      <c r="A811" s="148" t="s">
        <v>331</v>
      </c>
      <c r="B811" s="149">
        <v>1119114</v>
      </c>
      <c r="C811" s="148" t="s">
        <v>1085</v>
      </c>
      <c r="D811" s="150">
        <v>57.24</v>
      </c>
      <c r="E811" s="151" t="s">
        <v>9</v>
      </c>
      <c r="F811" s="152">
        <v>2</v>
      </c>
      <c r="G811" s="152">
        <v>6</v>
      </c>
    </row>
    <row r="812" spans="1:7" ht="15.75" x14ac:dyDescent="0.3">
      <c r="A812" s="148" t="s">
        <v>331</v>
      </c>
      <c r="B812" s="149">
        <v>1119115</v>
      </c>
      <c r="C812" s="148" t="s">
        <v>1086</v>
      </c>
      <c r="D812" s="150">
        <v>58.57</v>
      </c>
      <c r="E812" s="151" t="s">
        <v>9</v>
      </c>
      <c r="F812" s="152">
        <v>2</v>
      </c>
      <c r="G812" s="152">
        <v>8</v>
      </c>
    </row>
    <row r="813" spans="1:7" ht="15.75" x14ac:dyDescent="0.3">
      <c r="A813" s="148" t="s">
        <v>331</v>
      </c>
      <c r="B813" s="149">
        <v>1119116</v>
      </c>
      <c r="C813" s="148" t="s">
        <v>1087</v>
      </c>
      <c r="D813" s="150">
        <v>59.67</v>
      </c>
      <c r="E813" s="151" t="s">
        <v>9</v>
      </c>
      <c r="F813" s="152">
        <v>2</v>
      </c>
      <c r="G813" s="152">
        <v>8</v>
      </c>
    </row>
    <row r="814" spans="1:7" ht="15.75" x14ac:dyDescent="0.3">
      <c r="A814" s="148" t="s">
        <v>331</v>
      </c>
      <c r="B814" s="149">
        <v>1119117</v>
      </c>
      <c r="C814" s="148" t="s">
        <v>1088</v>
      </c>
      <c r="D814" s="150">
        <v>61.3</v>
      </c>
      <c r="E814" s="151" t="s">
        <v>9</v>
      </c>
      <c r="F814" s="152">
        <v>2</v>
      </c>
      <c r="G814" s="152">
        <v>6</v>
      </c>
    </row>
    <row r="815" spans="1:7" ht="15.75" x14ac:dyDescent="0.3">
      <c r="A815" s="148" t="s">
        <v>331</v>
      </c>
      <c r="B815" s="149">
        <v>1119118</v>
      </c>
      <c r="C815" s="148" t="s">
        <v>1089</v>
      </c>
      <c r="D815" s="150">
        <v>63.07</v>
      </c>
      <c r="E815" s="151" t="s">
        <v>9</v>
      </c>
      <c r="F815" s="152">
        <v>2</v>
      </c>
      <c r="G815" s="152">
        <v>6</v>
      </c>
    </row>
    <row r="816" spans="1:7" ht="15.75" x14ac:dyDescent="0.3">
      <c r="A816" s="148" t="s">
        <v>331</v>
      </c>
      <c r="B816" s="149">
        <v>1119119</v>
      </c>
      <c r="C816" s="148" t="s">
        <v>1090</v>
      </c>
      <c r="D816" s="150">
        <v>27.48</v>
      </c>
      <c r="E816" s="151" t="s">
        <v>9</v>
      </c>
      <c r="F816" s="152">
        <v>10</v>
      </c>
      <c r="G816" s="152">
        <v>80</v>
      </c>
    </row>
    <row r="817" spans="1:7" ht="15.75" x14ac:dyDescent="0.3">
      <c r="A817" s="148" t="s">
        <v>331</v>
      </c>
      <c r="B817" s="149">
        <v>1119120</v>
      </c>
      <c r="C817" s="148" t="s">
        <v>1091</v>
      </c>
      <c r="D817" s="150">
        <v>28.65</v>
      </c>
      <c r="E817" s="151" t="s">
        <v>9</v>
      </c>
      <c r="F817" s="152">
        <v>10</v>
      </c>
      <c r="G817" s="152">
        <v>60</v>
      </c>
    </row>
    <row r="818" spans="1:7" ht="15.75" x14ac:dyDescent="0.3">
      <c r="A818" s="148" t="s">
        <v>331</v>
      </c>
      <c r="B818" s="149">
        <v>1119121</v>
      </c>
      <c r="C818" s="148" t="s">
        <v>1092</v>
      </c>
      <c r="D818" s="150">
        <v>29.78</v>
      </c>
      <c r="E818" s="151" t="s">
        <v>9</v>
      </c>
      <c r="F818" s="152">
        <v>10</v>
      </c>
      <c r="G818" s="152">
        <v>50</v>
      </c>
    </row>
    <row r="819" spans="1:7" ht="15.75" x14ac:dyDescent="0.3">
      <c r="A819" s="148" t="s">
        <v>331</v>
      </c>
      <c r="B819" s="149">
        <v>1119122</v>
      </c>
      <c r="C819" s="148" t="s">
        <v>1093</v>
      </c>
      <c r="D819" s="150">
        <v>29.78</v>
      </c>
      <c r="E819" s="151" t="s">
        <v>9</v>
      </c>
      <c r="F819" s="152">
        <v>10</v>
      </c>
      <c r="G819" s="152">
        <v>50</v>
      </c>
    </row>
    <row r="820" spans="1:7" ht="15.75" x14ac:dyDescent="0.3">
      <c r="A820" s="148" t="s">
        <v>331</v>
      </c>
      <c r="B820" s="149">
        <v>1119123</v>
      </c>
      <c r="C820" s="148" t="s">
        <v>1094</v>
      </c>
      <c r="D820" s="150">
        <v>32.450000000000003</v>
      </c>
      <c r="E820" s="151" t="s">
        <v>9</v>
      </c>
      <c r="F820" s="152">
        <v>10</v>
      </c>
      <c r="G820" s="152">
        <v>40</v>
      </c>
    </row>
    <row r="821" spans="1:7" ht="15.75" x14ac:dyDescent="0.3">
      <c r="A821" s="148" t="s">
        <v>331</v>
      </c>
      <c r="B821" s="149">
        <v>1119124</v>
      </c>
      <c r="C821" s="148" t="s">
        <v>1095</v>
      </c>
      <c r="D821" s="150">
        <v>34.08</v>
      </c>
      <c r="E821" s="151" t="s">
        <v>9</v>
      </c>
      <c r="F821" s="152">
        <v>10</v>
      </c>
      <c r="G821" s="152">
        <v>30</v>
      </c>
    </row>
    <row r="822" spans="1:7" ht="15.75" x14ac:dyDescent="0.3">
      <c r="A822" s="148" t="s">
        <v>331</v>
      </c>
      <c r="B822" s="149">
        <v>1119125</v>
      </c>
      <c r="C822" s="148" t="s">
        <v>1096</v>
      </c>
      <c r="D822" s="150">
        <v>35.200000000000003</v>
      </c>
      <c r="E822" s="151" t="s">
        <v>9</v>
      </c>
      <c r="F822" s="152">
        <v>10</v>
      </c>
      <c r="G822" s="152">
        <v>30</v>
      </c>
    </row>
    <row r="823" spans="1:7" ht="15.75" x14ac:dyDescent="0.3">
      <c r="A823" s="148" t="s">
        <v>331</v>
      </c>
      <c r="B823" s="149">
        <v>1119126</v>
      </c>
      <c r="C823" s="148" t="s">
        <v>1097</v>
      </c>
      <c r="D823" s="150">
        <v>39.31</v>
      </c>
      <c r="E823" s="151" t="s">
        <v>9</v>
      </c>
      <c r="F823" s="152">
        <v>10</v>
      </c>
      <c r="G823" s="152">
        <v>20</v>
      </c>
    </row>
    <row r="824" spans="1:7" ht="15.75" x14ac:dyDescent="0.3">
      <c r="A824" s="148" t="s">
        <v>331</v>
      </c>
      <c r="B824" s="149">
        <v>1119127</v>
      </c>
      <c r="C824" s="148" t="s">
        <v>1098</v>
      </c>
      <c r="D824" s="150">
        <v>44.17</v>
      </c>
      <c r="E824" s="151" t="s">
        <v>9</v>
      </c>
      <c r="F824" s="152">
        <v>10</v>
      </c>
      <c r="G824" s="152">
        <v>20</v>
      </c>
    </row>
    <row r="825" spans="1:7" ht="15.75" x14ac:dyDescent="0.3">
      <c r="A825" s="148" t="s">
        <v>331</v>
      </c>
      <c r="B825" s="149">
        <v>1119128</v>
      </c>
      <c r="C825" s="148" t="s">
        <v>1099</v>
      </c>
      <c r="D825" s="150">
        <v>47.75</v>
      </c>
      <c r="E825" s="151" t="s">
        <v>9</v>
      </c>
      <c r="F825" s="152">
        <v>2</v>
      </c>
      <c r="G825" s="152">
        <v>16</v>
      </c>
    </row>
    <row r="826" spans="1:7" ht="15.75" x14ac:dyDescent="0.3">
      <c r="A826" s="148" t="s">
        <v>331</v>
      </c>
      <c r="B826" s="149">
        <v>1119129</v>
      </c>
      <c r="C826" s="148" t="s">
        <v>1100</v>
      </c>
      <c r="D826" s="150">
        <v>58.69</v>
      </c>
      <c r="E826" s="151" t="s">
        <v>9</v>
      </c>
      <c r="F826" s="152">
        <v>4</v>
      </c>
      <c r="G826" s="152">
        <v>16</v>
      </c>
    </row>
    <row r="827" spans="1:7" ht="15.75" x14ac:dyDescent="0.3">
      <c r="A827" s="148" t="s">
        <v>331</v>
      </c>
      <c r="B827" s="149">
        <v>1119130</v>
      </c>
      <c r="C827" s="148" t="s">
        <v>1101</v>
      </c>
      <c r="D827" s="150">
        <v>66.819999999999993</v>
      </c>
      <c r="E827" s="151" t="s">
        <v>9</v>
      </c>
      <c r="F827" s="152">
        <v>2</v>
      </c>
      <c r="G827" s="152">
        <v>8</v>
      </c>
    </row>
    <row r="828" spans="1:7" ht="15.75" x14ac:dyDescent="0.3">
      <c r="A828" s="148" t="s">
        <v>331</v>
      </c>
      <c r="B828" s="149">
        <v>1119131</v>
      </c>
      <c r="C828" s="148" t="s">
        <v>1102</v>
      </c>
      <c r="D828" s="150">
        <v>66.819999999999993</v>
      </c>
      <c r="E828" s="151" t="s">
        <v>9</v>
      </c>
      <c r="F828" s="152">
        <v>2</v>
      </c>
      <c r="G828" s="152">
        <v>6</v>
      </c>
    </row>
    <row r="829" spans="1:7" ht="15.75" x14ac:dyDescent="0.3">
      <c r="A829" s="148" t="s">
        <v>331</v>
      </c>
      <c r="B829" s="149">
        <v>1119132</v>
      </c>
      <c r="C829" s="148" t="s">
        <v>1103</v>
      </c>
      <c r="D829" s="150">
        <v>103.82</v>
      </c>
      <c r="E829" s="151" t="s">
        <v>9</v>
      </c>
      <c r="F829" s="152">
        <v>2</v>
      </c>
      <c r="G829" s="152">
        <v>6</v>
      </c>
    </row>
    <row r="830" spans="1:7" ht="15.75" x14ac:dyDescent="0.3">
      <c r="A830" s="148" t="s">
        <v>331</v>
      </c>
      <c r="B830" s="149">
        <v>1119133</v>
      </c>
      <c r="C830" s="148" t="s">
        <v>1104</v>
      </c>
      <c r="D830" s="150">
        <v>19.37</v>
      </c>
      <c r="E830" s="151" t="s">
        <v>9</v>
      </c>
      <c r="F830" s="152">
        <v>20</v>
      </c>
      <c r="G830" s="152">
        <v>200</v>
      </c>
    </row>
    <row r="831" spans="1:7" ht="15.75" x14ac:dyDescent="0.3">
      <c r="A831" s="148" t="s">
        <v>331</v>
      </c>
      <c r="B831" s="149">
        <v>1119134</v>
      </c>
      <c r="C831" s="148" t="s">
        <v>1105</v>
      </c>
      <c r="D831" s="150">
        <v>19.75</v>
      </c>
      <c r="E831" s="151" t="s">
        <v>9</v>
      </c>
      <c r="F831" s="152">
        <v>10</v>
      </c>
      <c r="G831" s="152">
        <v>100</v>
      </c>
    </row>
    <row r="832" spans="1:7" ht="15.75" x14ac:dyDescent="0.3">
      <c r="A832" s="148" t="s">
        <v>331</v>
      </c>
      <c r="B832" s="149">
        <v>1119135</v>
      </c>
      <c r="C832" s="148" t="s">
        <v>1106</v>
      </c>
      <c r="D832" s="150">
        <v>19.43</v>
      </c>
      <c r="E832" s="151" t="s">
        <v>9</v>
      </c>
      <c r="F832" s="152">
        <v>20</v>
      </c>
      <c r="G832" s="152">
        <v>160</v>
      </c>
    </row>
    <row r="833" spans="1:7" ht="15.75" x14ac:dyDescent="0.3">
      <c r="A833" s="148" t="s">
        <v>331</v>
      </c>
      <c r="B833" s="149">
        <v>1119136</v>
      </c>
      <c r="C833" s="148" t="s">
        <v>1107</v>
      </c>
      <c r="D833" s="150">
        <v>19.29</v>
      </c>
      <c r="E833" s="151" t="s">
        <v>9</v>
      </c>
      <c r="F833" s="152">
        <v>10</v>
      </c>
      <c r="G833" s="152">
        <v>100</v>
      </c>
    </row>
    <row r="834" spans="1:7" ht="15.75" x14ac:dyDescent="0.3">
      <c r="A834" s="148" t="s">
        <v>331</v>
      </c>
      <c r="B834" s="149">
        <v>1119137</v>
      </c>
      <c r="C834" s="148" t="s">
        <v>1108</v>
      </c>
      <c r="D834" s="150">
        <v>20.94</v>
      </c>
      <c r="E834" s="151" t="s">
        <v>9</v>
      </c>
      <c r="F834" s="152">
        <v>10</v>
      </c>
      <c r="G834" s="152">
        <v>100</v>
      </c>
    </row>
    <row r="835" spans="1:7" ht="15.75" x14ac:dyDescent="0.3">
      <c r="A835" s="148" t="s">
        <v>331</v>
      </c>
      <c r="B835" s="149">
        <v>1119138</v>
      </c>
      <c r="C835" s="148" t="s">
        <v>1109</v>
      </c>
      <c r="D835" s="150">
        <v>21.99</v>
      </c>
      <c r="E835" s="151" t="s">
        <v>9</v>
      </c>
      <c r="F835" s="152">
        <v>10</v>
      </c>
      <c r="G835" s="152">
        <v>80</v>
      </c>
    </row>
    <row r="836" spans="1:7" ht="15.75" x14ac:dyDescent="0.3">
      <c r="A836" s="148" t="s">
        <v>331</v>
      </c>
      <c r="B836" s="149">
        <v>1119139</v>
      </c>
      <c r="C836" s="148" t="s">
        <v>1110</v>
      </c>
      <c r="D836" s="150">
        <v>27.48</v>
      </c>
      <c r="E836" s="151" t="s">
        <v>9</v>
      </c>
      <c r="F836" s="152">
        <v>10</v>
      </c>
      <c r="G836" s="152">
        <v>50</v>
      </c>
    </row>
    <row r="837" spans="1:7" ht="15.75" x14ac:dyDescent="0.3">
      <c r="A837" s="148" t="s">
        <v>331</v>
      </c>
      <c r="B837" s="149">
        <v>1119140</v>
      </c>
      <c r="C837" s="148" t="s">
        <v>1111</v>
      </c>
      <c r="D837" s="150">
        <v>26.83</v>
      </c>
      <c r="E837" s="151" t="s">
        <v>9</v>
      </c>
      <c r="F837" s="152">
        <v>10</v>
      </c>
      <c r="G837" s="152">
        <v>60</v>
      </c>
    </row>
    <row r="838" spans="1:7" ht="15.75" x14ac:dyDescent="0.3">
      <c r="A838" s="148" t="s">
        <v>331</v>
      </c>
      <c r="B838" s="149">
        <v>1119141</v>
      </c>
      <c r="C838" s="148" t="s">
        <v>1112</v>
      </c>
      <c r="D838" s="150">
        <v>27.81</v>
      </c>
      <c r="E838" s="151" t="s">
        <v>9</v>
      </c>
      <c r="F838" s="152">
        <v>10</v>
      </c>
      <c r="G838" s="152">
        <v>60</v>
      </c>
    </row>
    <row r="839" spans="1:7" ht="15.75" x14ac:dyDescent="0.3">
      <c r="A839" s="148" t="s">
        <v>331</v>
      </c>
      <c r="B839" s="149">
        <v>1119142</v>
      </c>
      <c r="C839" s="148" t="s">
        <v>1113</v>
      </c>
      <c r="D839" s="150">
        <v>35.32</v>
      </c>
      <c r="E839" s="151" t="s">
        <v>9</v>
      </c>
      <c r="F839" s="152">
        <v>10</v>
      </c>
      <c r="G839" s="152">
        <v>40</v>
      </c>
    </row>
    <row r="840" spans="1:7" ht="15.75" x14ac:dyDescent="0.3">
      <c r="A840" s="148" t="s">
        <v>331</v>
      </c>
      <c r="B840" s="149">
        <v>1119143</v>
      </c>
      <c r="C840" s="148" t="s">
        <v>1114</v>
      </c>
      <c r="D840" s="150">
        <v>40.770000000000003</v>
      </c>
      <c r="E840" s="151" t="s">
        <v>9</v>
      </c>
      <c r="F840" s="152">
        <v>10</v>
      </c>
      <c r="G840" s="152">
        <v>30</v>
      </c>
    </row>
    <row r="841" spans="1:7" ht="15.75" x14ac:dyDescent="0.3">
      <c r="A841" s="148" t="s">
        <v>331</v>
      </c>
      <c r="B841" s="149">
        <v>1119144</v>
      </c>
      <c r="C841" s="148" t="s">
        <v>1115</v>
      </c>
      <c r="D841" s="150">
        <v>59.55</v>
      </c>
      <c r="E841" s="151" t="s">
        <v>9</v>
      </c>
      <c r="F841" s="152">
        <v>4</v>
      </c>
      <c r="G841" s="152">
        <v>24</v>
      </c>
    </row>
    <row r="842" spans="1:7" ht="15.75" x14ac:dyDescent="0.3">
      <c r="A842" s="148" t="s">
        <v>331</v>
      </c>
      <c r="B842" s="149">
        <v>1119145</v>
      </c>
      <c r="C842" s="148" t="s">
        <v>1116</v>
      </c>
      <c r="D842" s="150">
        <v>79.81</v>
      </c>
      <c r="E842" s="151" t="s">
        <v>9</v>
      </c>
      <c r="F842" s="152">
        <v>4</v>
      </c>
      <c r="G842" s="152">
        <v>12</v>
      </c>
    </row>
    <row r="843" spans="1:7" ht="15.75" x14ac:dyDescent="0.3">
      <c r="A843" s="148" t="s">
        <v>331</v>
      </c>
      <c r="B843" s="149">
        <v>1119146</v>
      </c>
      <c r="C843" s="148" t="s">
        <v>1117</v>
      </c>
      <c r="D843" s="150">
        <v>18.97</v>
      </c>
      <c r="E843" s="151" t="s">
        <v>9</v>
      </c>
      <c r="F843" s="152">
        <v>10</v>
      </c>
      <c r="G843" s="152">
        <v>120</v>
      </c>
    </row>
    <row r="844" spans="1:7" ht="15.75" x14ac:dyDescent="0.3">
      <c r="A844" s="148" t="s">
        <v>331</v>
      </c>
      <c r="B844" s="149">
        <v>1119147</v>
      </c>
      <c r="C844" s="148" t="s">
        <v>1118</v>
      </c>
      <c r="D844" s="150">
        <v>19.829999999999998</v>
      </c>
      <c r="E844" s="151" t="s">
        <v>9</v>
      </c>
      <c r="F844" s="152">
        <v>10</v>
      </c>
      <c r="G844" s="152">
        <v>90</v>
      </c>
    </row>
    <row r="845" spans="1:7" ht="15.75" x14ac:dyDescent="0.3">
      <c r="A845" s="148" t="s">
        <v>331</v>
      </c>
      <c r="B845" s="149">
        <v>1119148</v>
      </c>
      <c r="C845" s="148" t="s">
        <v>1119</v>
      </c>
      <c r="D845" s="150">
        <v>20.100000000000001</v>
      </c>
      <c r="E845" s="151" t="s">
        <v>9</v>
      </c>
      <c r="F845" s="152">
        <v>20</v>
      </c>
      <c r="G845" s="152">
        <v>120</v>
      </c>
    </row>
    <row r="846" spans="1:7" ht="15.75" x14ac:dyDescent="0.3">
      <c r="A846" s="148" t="s">
        <v>331</v>
      </c>
      <c r="B846" s="149">
        <v>1119149</v>
      </c>
      <c r="C846" s="148" t="s">
        <v>1120</v>
      </c>
      <c r="D846" s="150">
        <v>20.94</v>
      </c>
      <c r="E846" s="151" t="s">
        <v>9</v>
      </c>
      <c r="F846" s="152">
        <v>10</v>
      </c>
      <c r="G846" s="152">
        <v>100</v>
      </c>
    </row>
    <row r="847" spans="1:7" ht="15.75" x14ac:dyDescent="0.3">
      <c r="A847" s="148" t="s">
        <v>331</v>
      </c>
      <c r="B847" s="149">
        <v>1119150</v>
      </c>
      <c r="C847" s="148" t="s">
        <v>1121</v>
      </c>
      <c r="D847" s="150">
        <v>21.4</v>
      </c>
      <c r="E847" s="151" t="s">
        <v>9</v>
      </c>
      <c r="F847" s="152">
        <v>10</v>
      </c>
      <c r="G847" s="152">
        <v>100</v>
      </c>
    </row>
    <row r="848" spans="1:7" ht="15.75" x14ac:dyDescent="0.3">
      <c r="A848" s="148" t="s">
        <v>331</v>
      </c>
      <c r="B848" s="149">
        <v>1119151</v>
      </c>
      <c r="C848" s="148" t="s">
        <v>1122</v>
      </c>
      <c r="D848" s="150">
        <v>25.2</v>
      </c>
      <c r="E848" s="151" t="s">
        <v>9</v>
      </c>
      <c r="F848" s="152">
        <v>10</v>
      </c>
      <c r="G848" s="152">
        <v>80</v>
      </c>
    </row>
    <row r="849" spans="1:7" ht="15.75" x14ac:dyDescent="0.3">
      <c r="A849" s="148" t="s">
        <v>331</v>
      </c>
      <c r="B849" s="149">
        <v>1119152</v>
      </c>
      <c r="C849" s="148" t="s">
        <v>1123</v>
      </c>
      <c r="D849" s="150">
        <v>28.65</v>
      </c>
      <c r="E849" s="151" t="s">
        <v>9</v>
      </c>
      <c r="F849" s="152">
        <v>10</v>
      </c>
      <c r="G849" s="152">
        <v>60</v>
      </c>
    </row>
    <row r="850" spans="1:7" ht="15.75" x14ac:dyDescent="0.3">
      <c r="A850" s="148" t="s">
        <v>331</v>
      </c>
      <c r="B850" s="149">
        <v>1119153</v>
      </c>
      <c r="C850" s="148" t="s">
        <v>1124</v>
      </c>
      <c r="D850" s="150">
        <v>27.29</v>
      </c>
      <c r="E850" s="151" t="s">
        <v>9</v>
      </c>
      <c r="F850" s="152">
        <v>10</v>
      </c>
      <c r="G850" s="152">
        <v>60</v>
      </c>
    </row>
    <row r="851" spans="1:7" ht="15.75" x14ac:dyDescent="0.3">
      <c r="A851" s="148" t="s">
        <v>331</v>
      </c>
      <c r="B851" s="149">
        <v>1119154</v>
      </c>
      <c r="C851" s="148" t="s">
        <v>1125</v>
      </c>
      <c r="D851" s="150">
        <v>39.14</v>
      </c>
      <c r="E851" s="151" t="s">
        <v>9</v>
      </c>
      <c r="F851" s="152">
        <v>10</v>
      </c>
      <c r="G851" s="152">
        <v>60</v>
      </c>
    </row>
    <row r="852" spans="1:7" ht="15.75" x14ac:dyDescent="0.3">
      <c r="A852" s="148" t="s">
        <v>331</v>
      </c>
      <c r="B852" s="149">
        <v>1119155</v>
      </c>
      <c r="C852" s="148" t="s">
        <v>1126</v>
      </c>
      <c r="D852" s="150">
        <v>42.86</v>
      </c>
      <c r="E852" s="151" t="s">
        <v>9</v>
      </c>
      <c r="F852" s="152">
        <v>10</v>
      </c>
      <c r="G852" s="152">
        <v>30</v>
      </c>
    </row>
    <row r="853" spans="1:7" ht="15.75" x14ac:dyDescent="0.3">
      <c r="A853" s="148" t="s">
        <v>331</v>
      </c>
      <c r="B853" s="149">
        <v>1119156</v>
      </c>
      <c r="C853" s="148" t="s">
        <v>1127</v>
      </c>
      <c r="D853" s="150">
        <v>42.86</v>
      </c>
      <c r="E853" s="151" t="s">
        <v>9</v>
      </c>
      <c r="F853" s="152">
        <v>10</v>
      </c>
      <c r="G853" s="152">
        <v>30</v>
      </c>
    </row>
    <row r="854" spans="1:7" ht="15.75" x14ac:dyDescent="0.3">
      <c r="A854" s="148" t="s">
        <v>331</v>
      </c>
      <c r="B854" s="149">
        <v>1119157</v>
      </c>
      <c r="C854" s="148" t="s">
        <v>1128</v>
      </c>
      <c r="D854" s="150">
        <v>65.95</v>
      </c>
      <c r="E854" s="151" t="s">
        <v>9</v>
      </c>
      <c r="F854" s="152">
        <v>6</v>
      </c>
      <c r="G854" s="152">
        <v>24</v>
      </c>
    </row>
    <row r="855" spans="1:7" ht="15.75" x14ac:dyDescent="0.3">
      <c r="A855" s="148" t="s">
        <v>331</v>
      </c>
      <c r="B855" s="149">
        <v>1119158</v>
      </c>
      <c r="C855" s="148" t="s">
        <v>1129</v>
      </c>
      <c r="D855" s="150">
        <v>98.61</v>
      </c>
      <c r="E855" s="151" t="s">
        <v>9</v>
      </c>
      <c r="F855" s="152">
        <v>4</v>
      </c>
      <c r="G855" s="152">
        <v>12</v>
      </c>
    </row>
    <row r="856" spans="1:7" ht="15.75" x14ac:dyDescent="0.3">
      <c r="A856" s="148" t="s">
        <v>331</v>
      </c>
      <c r="B856" s="149">
        <v>1119159</v>
      </c>
      <c r="C856" s="148" t="s">
        <v>332</v>
      </c>
      <c r="D856" s="150">
        <v>84.53</v>
      </c>
      <c r="E856" s="151" t="s">
        <v>9</v>
      </c>
      <c r="F856" s="152">
        <v>1</v>
      </c>
      <c r="G856" s="152">
        <v>15</v>
      </c>
    </row>
    <row r="857" spans="1:7" ht="15.75" x14ac:dyDescent="0.3">
      <c r="A857" s="148" t="s">
        <v>331</v>
      </c>
      <c r="B857" s="149">
        <v>1119160</v>
      </c>
      <c r="C857" s="148" t="s">
        <v>333</v>
      </c>
      <c r="D857" s="150">
        <v>87.28</v>
      </c>
      <c r="E857" s="151" t="s">
        <v>9</v>
      </c>
      <c r="F857" s="152">
        <v>1</v>
      </c>
      <c r="G857" s="152">
        <v>10</v>
      </c>
    </row>
    <row r="858" spans="1:7" ht="15.75" x14ac:dyDescent="0.3">
      <c r="A858" s="148" t="s">
        <v>331</v>
      </c>
      <c r="B858" s="149">
        <v>1119161</v>
      </c>
      <c r="C858" s="148" t="s">
        <v>334</v>
      </c>
      <c r="D858" s="150">
        <v>117.24</v>
      </c>
      <c r="E858" s="151" t="s">
        <v>9</v>
      </c>
      <c r="F858" s="152">
        <v>1</v>
      </c>
      <c r="G858" s="152">
        <v>10</v>
      </c>
    </row>
    <row r="859" spans="1:7" ht="15.75" x14ac:dyDescent="0.3">
      <c r="A859" s="148" t="s">
        <v>331</v>
      </c>
      <c r="B859" s="149">
        <v>1119162</v>
      </c>
      <c r="C859" s="148" t="s">
        <v>335</v>
      </c>
      <c r="D859" s="150">
        <v>139.11000000000001</v>
      </c>
      <c r="E859" s="151" t="s">
        <v>9</v>
      </c>
      <c r="F859" s="152">
        <v>1</v>
      </c>
      <c r="G859" s="152">
        <v>5</v>
      </c>
    </row>
    <row r="860" spans="1:7" ht="15.75" x14ac:dyDescent="0.3">
      <c r="A860" s="148" t="s">
        <v>331</v>
      </c>
      <c r="B860" s="149">
        <v>1119163</v>
      </c>
      <c r="C860" s="148" t="s">
        <v>336</v>
      </c>
      <c r="D860" s="150">
        <v>211.33</v>
      </c>
      <c r="E860" s="151" t="s">
        <v>9</v>
      </c>
      <c r="F860" s="152">
        <v>1</v>
      </c>
      <c r="G860" s="152">
        <v>4</v>
      </c>
    </row>
    <row r="861" spans="1:7" ht="15.75" x14ac:dyDescent="0.3">
      <c r="A861" s="148" t="s">
        <v>331</v>
      </c>
      <c r="B861" s="149">
        <v>1119164</v>
      </c>
      <c r="C861" s="148" t="s">
        <v>337</v>
      </c>
      <c r="D861" s="150">
        <v>248.23</v>
      </c>
      <c r="E861" s="151" t="s">
        <v>9</v>
      </c>
      <c r="F861" s="152">
        <v>1</v>
      </c>
      <c r="G861" s="152">
        <v>5</v>
      </c>
    </row>
    <row r="862" spans="1:7" ht="15.75" x14ac:dyDescent="0.3">
      <c r="A862" s="148" t="s">
        <v>331</v>
      </c>
      <c r="B862" s="149">
        <v>1119165</v>
      </c>
      <c r="C862" s="148" t="s">
        <v>338</v>
      </c>
      <c r="D862" s="150">
        <v>316.33999999999997</v>
      </c>
      <c r="E862" s="151" t="s">
        <v>9</v>
      </c>
      <c r="F862" s="152">
        <v>1</v>
      </c>
      <c r="G862" s="152">
        <v>2</v>
      </c>
    </row>
    <row r="863" spans="1:7" ht="15.75" x14ac:dyDescent="0.3">
      <c r="A863" s="148" t="s">
        <v>1130</v>
      </c>
      <c r="B863" s="149">
        <v>1136397</v>
      </c>
      <c r="C863" s="148" t="s">
        <v>1131</v>
      </c>
      <c r="D863" s="150">
        <v>192.57</v>
      </c>
      <c r="E863" s="151" t="s">
        <v>9</v>
      </c>
      <c r="F863" s="152">
        <v>1</v>
      </c>
      <c r="G863" s="152">
        <v>80</v>
      </c>
    </row>
    <row r="864" spans="1:7" ht="15.75" x14ac:dyDescent="0.3">
      <c r="A864" s="148" t="s">
        <v>1130</v>
      </c>
      <c r="B864" s="149">
        <v>1136398</v>
      </c>
      <c r="C864" s="148" t="s">
        <v>1132</v>
      </c>
      <c r="D864" s="150">
        <v>151.1</v>
      </c>
      <c r="E864" s="151" t="s">
        <v>9</v>
      </c>
      <c r="F864" s="152">
        <v>1</v>
      </c>
      <c r="G864" s="152">
        <v>70</v>
      </c>
    </row>
    <row r="865" spans="1:7" ht="15.75" x14ac:dyDescent="0.3">
      <c r="A865" s="148" t="s">
        <v>1130</v>
      </c>
      <c r="B865" s="149">
        <v>1136399</v>
      </c>
      <c r="C865" s="148" t="s">
        <v>1133</v>
      </c>
      <c r="D865" s="150">
        <v>159.72999999999999</v>
      </c>
      <c r="E865" s="151" t="s">
        <v>9</v>
      </c>
      <c r="F865" s="152">
        <v>1</v>
      </c>
      <c r="G865" s="152">
        <v>50</v>
      </c>
    </row>
    <row r="866" spans="1:7" ht="15.75" x14ac:dyDescent="0.3">
      <c r="A866" s="148" t="s">
        <v>1130</v>
      </c>
      <c r="B866" s="149">
        <v>1136400</v>
      </c>
      <c r="C866" s="148" t="s">
        <v>1134</v>
      </c>
      <c r="D866" s="150">
        <v>166.21</v>
      </c>
      <c r="E866" s="151" t="s">
        <v>9</v>
      </c>
      <c r="F866" s="152">
        <v>1</v>
      </c>
      <c r="G866" s="152">
        <v>50</v>
      </c>
    </row>
    <row r="867" spans="1:7" ht="15.75" x14ac:dyDescent="0.3">
      <c r="A867" s="148" t="s">
        <v>1130</v>
      </c>
      <c r="B867" s="149">
        <v>1136401</v>
      </c>
      <c r="C867" s="148" t="s">
        <v>1135</v>
      </c>
      <c r="D867" s="150">
        <v>173.87</v>
      </c>
      <c r="E867" s="151" t="s">
        <v>9</v>
      </c>
      <c r="F867" s="152">
        <v>1</v>
      </c>
      <c r="G867" s="152">
        <v>50</v>
      </c>
    </row>
    <row r="868" spans="1:7" ht="15.75" x14ac:dyDescent="0.3">
      <c r="A868" s="148" t="s">
        <v>1130</v>
      </c>
      <c r="B868" s="149">
        <v>1136402</v>
      </c>
      <c r="C868" s="148" t="s">
        <v>1136</v>
      </c>
      <c r="D868" s="150">
        <v>248.36</v>
      </c>
      <c r="E868" s="151" t="s">
        <v>9</v>
      </c>
      <c r="F868" s="152">
        <v>1</v>
      </c>
      <c r="G868" s="152">
        <v>80</v>
      </c>
    </row>
    <row r="869" spans="1:7" ht="15.75" x14ac:dyDescent="0.3">
      <c r="A869" s="148" t="s">
        <v>1130</v>
      </c>
      <c r="B869" s="149">
        <v>1136403</v>
      </c>
      <c r="C869" s="148" t="s">
        <v>1137</v>
      </c>
      <c r="D869" s="150">
        <v>252.34</v>
      </c>
      <c r="E869" s="151" t="s">
        <v>9</v>
      </c>
      <c r="F869" s="152">
        <v>1</v>
      </c>
      <c r="G869" s="152">
        <v>70</v>
      </c>
    </row>
    <row r="870" spans="1:7" ht="15.75" x14ac:dyDescent="0.3">
      <c r="A870" s="148" t="s">
        <v>1130</v>
      </c>
      <c r="B870" s="149">
        <v>1136404</v>
      </c>
      <c r="C870" s="148" t="s">
        <v>1138</v>
      </c>
      <c r="D870" s="150">
        <v>255.35</v>
      </c>
      <c r="E870" s="151" t="s">
        <v>9</v>
      </c>
      <c r="F870" s="152">
        <v>1</v>
      </c>
      <c r="G870" s="152">
        <v>50</v>
      </c>
    </row>
    <row r="871" spans="1:7" ht="15.75" x14ac:dyDescent="0.3">
      <c r="A871" s="148" t="s">
        <v>1130</v>
      </c>
      <c r="B871" s="149">
        <v>1136405</v>
      </c>
      <c r="C871" s="148" t="s">
        <v>1139</v>
      </c>
      <c r="D871" s="150">
        <v>260.64</v>
      </c>
      <c r="E871" s="151" t="s">
        <v>9</v>
      </c>
      <c r="F871" s="152">
        <v>1</v>
      </c>
      <c r="G871" s="152">
        <v>50</v>
      </c>
    </row>
    <row r="872" spans="1:7" ht="15.75" x14ac:dyDescent="0.3">
      <c r="A872" s="148" t="s">
        <v>1130</v>
      </c>
      <c r="B872" s="149">
        <v>1136406</v>
      </c>
      <c r="C872" s="148" t="s">
        <v>1140</v>
      </c>
      <c r="D872" s="150">
        <v>176.31</v>
      </c>
      <c r="E872" s="151" t="s">
        <v>9</v>
      </c>
      <c r="F872" s="152">
        <v>1</v>
      </c>
      <c r="G872" s="152">
        <v>50</v>
      </c>
    </row>
    <row r="873" spans="1:7" ht="15.75" x14ac:dyDescent="0.3">
      <c r="A873" s="148" t="s">
        <v>1130</v>
      </c>
      <c r="B873" s="149">
        <v>1136407</v>
      </c>
      <c r="C873" s="148" t="s">
        <v>1141</v>
      </c>
      <c r="D873" s="150">
        <v>192.57</v>
      </c>
      <c r="E873" s="151" t="s">
        <v>9</v>
      </c>
      <c r="F873" s="152">
        <v>1</v>
      </c>
      <c r="G873" s="152">
        <v>80</v>
      </c>
    </row>
    <row r="874" spans="1:7" ht="15.75" x14ac:dyDescent="0.3">
      <c r="A874" s="148" t="s">
        <v>1130</v>
      </c>
      <c r="B874" s="149">
        <v>1136408</v>
      </c>
      <c r="C874" s="148" t="s">
        <v>1142</v>
      </c>
      <c r="D874" s="150">
        <v>151.1</v>
      </c>
      <c r="E874" s="151" t="s">
        <v>9</v>
      </c>
      <c r="F874" s="152">
        <v>1</v>
      </c>
      <c r="G874" s="152">
        <v>70</v>
      </c>
    </row>
    <row r="875" spans="1:7" ht="15.75" x14ac:dyDescent="0.3">
      <c r="A875" s="148" t="s">
        <v>1130</v>
      </c>
      <c r="B875" s="149">
        <v>1136409</v>
      </c>
      <c r="C875" s="148" t="s">
        <v>1143</v>
      </c>
      <c r="D875" s="150">
        <v>159.72999999999999</v>
      </c>
      <c r="E875" s="151" t="s">
        <v>9</v>
      </c>
      <c r="F875" s="152">
        <v>1</v>
      </c>
      <c r="G875" s="152">
        <v>50</v>
      </c>
    </row>
    <row r="876" spans="1:7" ht="15.75" x14ac:dyDescent="0.3">
      <c r="A876" s="148" t="s">
        <v>1130</v>
      </c>
      <c r="B876" s="149">
        <v>1136410</v>
      </c>
      <c r="C876" s="148" t="s">
        <v>1144</v>
      </c>
      <c r="D876" s="150">
        <v>166.21</v>
      </c>
      <c r="E876" s="151" t="s">
        <v>9</v>
      </c>
      <c r="F876" s="152">
        <v>1</v>
      </c>
      <c r="G876" s="152">
        <v>50</v>
      </c>
    </row>
    <row r="877" spans="1:7" ht="15.75" x14ac:dyDescent="0.3">
      <c r="A877" s="148" t="s">
        <v>1130</v>
      </c>
      <c r="B877" s="149">
        <v>1136411</v>
      </c>
      <c r="C877" s="148" t="s">
        <v>1145</v>
      </c>
      <c r="D877" s="150">
        <v>173.87</v>
      </c>
      <c r="E877" s="151" t="s">
        <v>9</v>
      </c>
      <c r="F877" s="152">
        <v>1</v>
      </c>
      <c r="G877" s="152">
        <v>50</v>
      </c>
    </row>
    <row r="878" spans="1:7" ht="15.75" x14ac:dyDescent="0.3">
      <c r="A878" s="148" t="s">
        <v>1130</v>
      </c>
      <c r="B878" s="149">
        <v>1136412</v>
      </c>
      <c r="C878" s="148" t="s">
        <v>1146</v>
      </c>
      <c r="D878" s="150">
        <v>248.36</v>
      </c>
      <c r="E878" s="151" t="s">
        <v>9</v>
      </c>
      <c r="F878" s="152">
        <v>1</v>
      </c>
      <c r="G878" s="152">
        <v>80</v>
      </c>
    </row>
    <row r="879" spans="1:7" ht="15.75" x14ac:dyDescent="0.3">
      <c r="A879" s="148" t="s">
        <v>1130</v>
      </c>
      <c r="B879" s="149">
        <v>1136413</v>
      </c>
      <c r="C879" s="148" t="s">
        <v>1147</v>
      </c>
      <c r="D879" s="150">
        <v>252.34</v>
      </c>
      <c r="E879" s="151" t="s">
        <v>9</v>
      </c>
      <c r="F879" s="152">
        <v>1</v>
      </c>
      <c r="G879" s="152">
        <v>70</v>
      </c>
    </row>
    <row r="880" spans="1:7" ht="15.75" x14ac:dyDescent="0.3">
      <c r="A880" s="148" t="s">
        <v>1130</v>
      </c>
      <c r="B880" s="149">
        <v>1136414</v>
      </c>
      <c r="C880" s="148" t="s">
        <v>1148</v>
      </c>
      <c r="D880" s="150">
        <v>255.35</v>
      </c>
      <c r="E880" s="151" t="s">
        <v>9</v>
      </c>
      <c r="F880" s="152">
        <v>1</v>
      </c>
      <c r="G880" s="152">
        <v>50</v>
      </c>
    </row>
    <row r="881" spans="1:7" ht="15.75" x14ac:dyDescent="0.3">
      <c r="A881" s="148" t="s">
        <v>1130</v>
      </c>
      <c r="B881" s="149">
        <v>1136415</v>
      </c>
      <c r="C881" s="148" t="s">
        <v>1149</v>
      </c>
      <c r="D881" s="150">
        <v>260.64</v>
      </c>
      <c r="E881" s="151" t="s">
        <v>9</v>
      </c>
      <c r="F881" s="152">
        <v>1</v>
      </c>
      <c r="G881" s="152">
        <v>50</v>
      </c>
    </row>
    <row r="882" spans="1:7" ht="15.75" x14ac:dyDescent="0.3">
      <c r="A882" s="148" t="s">
        <v>1130</v>
      </c>
      <c r="B882" s="149">
        <v>1136416</v>
      </c>
      <c r="C882" s="148" t="s">
        <v>1150</v>
      </c>
      <c r="D882" s="150">
        <v>176.31</v>
      </c>
      <c r="E882" s="151" t="s">
        <v>9</v>
      </c>
      <c r="F882" s="152">
        <v>1</v>
      </c>
      <c r="G882" s="152">
        <v>50</v>
      </c>
    </row>
    <row r="883" spans="1:7" ht="15.75" x14ac:dyDescent="0.3">
      <c r="A883" s="148" t="s">
        <v>1130</v>
      </c>
      <c r="B883" s="149">
        <v>1136417</v>
      </c>
      <c r="C883" s="148" t="s">
        <v>1151</v>
      </c>
      <c r="D883" s="150">
        <v>36.5</v>
      </c>
      <c r="E883" s="151" t="s">
        <v>9</v>
      </c>
      <c r="F883" s="152">
        <v>1</v>
      </c>
      <c r="G883" s="152">
        <v>429</v>
      </c>
    </row>
    <row r="884" spans="1:7" ht="15.75" x14ac:dyDescent="0.3">
      <c r="A884" s="148" t="s">
        <v>1130</v>
      </c>
      <c r="B884" s="149">
        <v>1136418</v>
      </c>
      <c r="C884" s="148" t="s">
        <v>1152</v>
      </c>
      <c r="D884" s="150">
        <v>41.48</v>
      </c>
      <c r="E884" s="151" t="s">
        <v>9</v>
      </c>
      <c r="F884" s="152">
        <v>1</v>
      </c>
      <c r="G884" s="152">
        <v>363</v>
      </c>
    </row>
    <row r="885" spans="1:7" ht="15.75" x14ac:dyDescent="0.3">
      <c r="A885" s="148" t="s">
        <v>1130</v>
      </c>
      <c r="B885" s="149">
        <v>1136419</v>
      </c>
      <c r="C885" s="148" t="s">
        <v>1153</v>
      </c>
      <c r="D885" s="150">
        <v>46.52</v>
      </c>
      <c r="E885" s="151" t="s">
        <v>9</v>
      </c>
      <c r="F885" s="152">
        <v>1</v>
      </c>
      <c r="G885" s="152">
        <v>363</v>
      </c>
    </row>
    <row r="886" spans="1:7" ht="15.75" x14ac:dyDescent="0.3">
      <c r="A886" s="148" t="s">
        <v>1130</v>
      </c>
      <c r="B886" s="149">
        <v>1136420</v>
      </c>
      <c r="C886" s="148" t="s">
        <v>1154</v>
      </c>
      <c r="D886" s="150">
        <v>49.51</v>
      </c>
      <c r="E886" s="151" t="s">
        <v>9</v>
      </c>
      <c r="F886" s="152">
        <v>1</v>
      </c>
      <c r="G886" s="152">
        <v>231</v>
      </c>
    </row>
    <row r="887" spans="1:7" ht="15.75" x14ac:dyDescent="0.3">
      <c r="A887" s="148" t="s">
        <v>1130</v>
      </c>
      <c r="B887" s="149">
        <v>1136421</v>
      </c>
      <c r="C887" s="148" t="s">
        <v>1155</v>
      </c>
      <c r="D887" s="150">
        <v>52.37</v>
      </c>
      <c r="E887" s="151" t="s">
        <v>9</v>
      </c>
      <c r="F887" s="152">
        <v>1</v>
      </c>
      <c r="G887" s="152">
        <v>231</v>
      </c>
    </row>
    <row r="888" spans="1:7" ht="15.75" x14ac:dyDescent="0.3">
      <c r="A888" s="148" t="s">
        <v>1130</v>
      </c>
      <c r="B888" s="149">
        <v>1136422</v>
      </c>
      <c r="C888" s="148" t="s">
        <v>1156</v>
      </c>
      <c r="D888" s="150">
        <v>52.79</v>
      </c>
      <c r="E888" s="151" t="s">
        <v>9</v>
      </c>
      <c r="F888" s="152">
        <v>1</v>
      </c>
      <c r="G888" s="152">
        <v>429</v>
      </c>
    </row>
    <row r="889" spans="1:7" ht="15.75" x14ac:dyDescent="0.3">
      <c r="A889" s="148" t="s">
        <v>1130</v>
      </c>
      <c r="B889" s="149">
        <v>1136423</v>
      </c>
      <c r="C889" s="148" t="s">
        <v>1157</v>
      </c>
      <c r="D889" s="150">
        <v>60</v>
      </c>
      <c r="E889" s="151" t="s">
        <v>9</v>
      </c>
      <c r="F889" s="152">
        <v>1</v>
      </c>
      <c r="G889" s="152">
        <v>363</v>
      </c>
    </row>
    <row r="890" spans="1:7" ht="15.75" x14ac:dyDescent="0.3">
      <c r="A890" s="148" t="s">
        <v>1130</v>
      </c>
      <c r="B890" s="149">
        <v>1136424</v>
      </c>
      <c r="C890" s="148" t="s">
        <v>1158</v>
      </c>
      <c r="D890" s="150">
        <v>67.22</v>
      </c>
      <c r="E890" s="151" t="s">
        <v>9</v>
      </c>
      <c r="F890" s="152">
        <v>1</v>
      </c>
      <c r="G890" s="152">
        <v>363</v>
      </c>
    </row>
    <row r="891" spans="1:7" ht="15.75" x14ac:dyDescent="0.3">
      <c r="A891" s="148" t="s">
        <v>1130</v>
      </c>
      <c r="B891" s="149">
        <v>1136425</v>
      </c>
      <c r="C891" s="148" t="s">
        <v>1159</v>
      </c>
      <c r="D891" s="150">
        <v>74.16</v>
      </c>
      <c r="E891" s="151" t="s">
        <v>9</v>
      </c>
      <c r="F891" s="152">
        <v>1</v>
      </c>
      <c r="G891" s="152">
        <v>231</v>
      </c>
    </row>
    <row r="892" spans="1:7" ht="15.75" x14ac:dyDescent="0.3">
      <c r="A892" s="148" t="s">
        <v>1130</v>
      </c>
      <c r="B892" s="149">
        <v>1136426</v>
      </c>
      <c r="C892" s="148" t="s">
        <v>1160</v>
      </c>
      <c r="D892" s="150">
        <v>79.930000000000007</v>
      </c>
      <c r="E892" s="151" t="s">
        <v>9</v>
      </c>
      <c r="F892" s="152">
        <v>1</v>
      </c>
      <c r="G892" s="152">
        <v>231</v>
      </c>
    </row>
    <row r="893" spans="1:7" ht="15.75" x14ac:dyDescent="0.3">
      <c r="A893" s="148" t="s">
        <v>1130</v>
      </c>
      <c r="B893" s="149">
        <v>1136427</v>
      </c>
      <c r="C893" s="148" t="s">
        <v>1161</v>
      </c>
      <c r="D893" s="150">
        <v>26.78</v>
      </c>
      <c r="E893" s="151" t="s">
        <v>9</v>
      </c>
      <c r="F893" s="152">
        <v>1</v>
      </c>
      <c r="G893" s="152">
        <v>429</v>
      </c>
    </row>
    <row r="894" spans="1:7" ht="15.75" x14ac:dyDescent="0.3">
      <c r="A894" s="148" t="s">
        <v>1130</v>
      </c>
      <c r="B894" s="149">
        <v>1136428</v>
      </c>
      <c r="C894" s="148" t="s">
        <v>1162</v>
      </c>
      <c r="D894" s="150">
        <v>30.4</v>
      </c>
      <c r="E894" s="151" t="s">
        <v>9</v>
      </c>
      <c r="F894" s="152">
        <v>1</v>
      </c>
      <c r="G894" s="152">
        <v>363</v>
      </c>
    </row>
    <row r="895" spans="1:7" ht="15.75" x14ac:dyDescent="0.3">
      <c r="A895" s="148" t="s">
        <v>1130</v>
      </c>
      <c r="B895" s="149">
        <v>1136429</v>
      </c>
      <c r="C895" s="148" t="s">
        <v>1163</v>
      </c>
      <c r="D895" s="150">
        <v>32.96</v>
      </c>
      <c r="E895" s="151" t="s">
        <v>9</v>
      </c>
      <c r="F895" s="152">
        <v>1</v>
      </c>
      <c r="G895" s="152">
        <v>363</v>
      </c>
    </row>
    <row r="896" spans="1:7" ht="15.75" x14ac:dyDescent="0.3">
      <c r="A896" s="148" t="s">
        <v>1130</v>
      </c>
      <c r="B896" s="149">
        <v>1136430</v>
      </c>
      <c r="C896" s="148" t="s">
        <v>1164</v>
      </c>
      <c r="D896" s="150">
        <v>35.770000000000003</v>
      </c>
      <c r="E896" s="151" t="s">
        <v>9</v>
      </c>
      <c r="F896" s="152">
        <v>1</v>
      </c>
      <c r="G896" s="152">
        <v>231</v>
      </c>
    </row>
    <row r="897" spans="1:7" ht="15.75" x14ac:dyDescent="0.3">
      <c r="A897" s="148" t="s">
        <v>1130</v>
      </c>
      <c r="B897" s="149">
        <v>1136431</v>
      </c>
      <c r="C897" s="148" t="s">
        <v>1165</v>
      </c>
      <c r="D897" s="150">
        <v>42.76</v>
      </c>
      <c r="E897" s="151" t="s">
        <v>9</v>
      </c>
      <c r="F897" s="152">
        <v>1</v>
      </c>
      <c r="G897" s="152">
        <v>231</v>
      </c>
    </row>
    <row r="898" spans="1:7" ht="15.75" x14ac:dyDescent="0.3">
      <c r="A898" s="148" t="s">
        <v>1130</v>
      </c>
      <c r="B898" s="149">
        <v>1136432</v>
      </c>
      <c r="C898" s="148" t="s">
        <v>1166</v>
      </c>
      <c r="D898" s="150">
        <v>35.909999999999997</v>
      </c>
      <c r="E898" s="151" t="s">
        <v>9</v>
      </c>
      <c r="F898" s="152">
        <v>1</v>
      </c>
      <c r="G898" s="152">
        <v>429</v>
      </c>
    </row>
    <row r="899" spans="1:7" ht="15.75" x14ac:dyDescent="0.3">
      <c r="A899" s="148" t="s">
        <v>1130</v>
      </c>
      <c r="B899" s="149">
        <v>1136433</v>
      </c>
      <c r="C899" s="148" t="s">
        <v>1167</v>
      </c>
      <c r="D899" s="150">
        <v>40.61</v>
      </c>
      <c r="E899" s="151" t="s">
        <v>9</v>
      </c>
      <c r="F899" s="152">
        <v>1</v>
      </c>
      <c r="G899" s="152">
        <v>363</v>
      </c>
    </row>
    <row r="900" spans="1:7" ht="15.75" x14ac:dyDescent="0.3">
      <c r="A900" s="148" t="s">
        <v>1130</v>
      </c>
      <c r="B900" s="149">
        <v>1136434</v>
      </c>
      <c r="C900" s="148" t="s">
        <v>1168</v>
      </c>
      <c r="D900" s="150">
        <v>44.04</v>
      </c>
      <c r="E900" s="151" t="s">
        <v>9</v>
      </c>
      <c r="F900" s="152">
        <v>1</v>
      </c>
      <c r="G900" s="152">
        <v>363</v>
      </c>
    </row>
    <row r="901" spans="1:7" ht="15.75" x14ac:dyDescent="0.3">
      <c r="A901" s="148" t="s">
        <v>1130</v>
      </c>
      <c r="B901" s="149">
        <v>1136435</v>
      </c>
      <c r="C901" s="148" t="s">
        <v>1169</v>
      </c>
      <c r="D901" s="150">
        <v>48.36</v>
      </c>
      <c r="E901" s="151" t="s">
        <v>9</v>
      </c>
      <c r="F901" s="152">
        <v>1</v>
      </c>
      <c r="G901" s="152">
        <v>231</v>
      </c>
    </row>
    <row r="902" spans="1:7" ht="15.75" x14ac:dyDescent="0.3">
      <c r="A902" s="148" t="s">
        <v>1130</v>
      </c>
      <c r="B902" s="149">
        <v>1136436</v>
      </c>
      <c r="C902" s="148" t="s">
        <v>1170</v>
      </c>
      <c r="D902" s="150">
        <v>51.38</v>
      </c>
      <c r="E902" s="151" t="s">
        <v>9</v>
      </c>
      <c r="F902" s="152">
        <v>1</v>
      </c>
      <c r="G902" s="152">
        <v>231</v>
      </c>
    </row>
    <row r="903" spans="1:7" ht="15.75" x14ac:dyDescent="0.3">
      <c r="A903" s="148" t="s">
        <v>1130</v>
      </c>
      <c r="B903" s="149">
        <v>1136437</v>
      </c>
      <c r="C903" s="148" t="s">
        <v>1171</v>
      </c>
      <c r="D903" s="150">
        <v>37.74</v>
      </c>
      <c r="E903" s="151" t="s">
        <v>9</v>
      </c>
      <c r="F903" s="152">
        <v>1</v>
      </c>
      <c r="G903" s="152">
        <v>429</v>
      </c>
    </row>
    <row r="904" spans="1:7" ht="15.75" x14ac:dyDescent="0.3">
      <c r="A904" s="148" t="s">
        <v>1130</v>
      </c>
      <c r="B904" s="149">
        <v>1136438</v>
      </c>
      <c r="C904" s="148" t="s">
        <v>1172</v>
      </c>
      <c r="D904" s="150">
        <v>39.79</v>
      </c>
      <c r="E904" s="151" t="s">
        <v>9</v>
      </c>
      <c r="F904" s="152">
        <v>1</v>
      </c>
      <c r="G904" s="152">
        <v>363</v>
      </c>
    </row>
    <row r="905" spans="1:7" ht="15.75" x14ac:dyDescent="0.3">
      <c r="A905" s="148" t="s">
        <v>1130</v>
      </c>
      <c r="B905" s="149">
        <v>1136439</v>
      </c>
      <c r="C905" s="148" t="s">
        <v>1173</v>
      </c>
      <c r="D905" s="150">
        <v>42.24</v>
      </c>
      <c r="E905" s="151" t="s">
        <v>9</v>
      </c>
      <c r="F905" s="152">
        <v>1</v>
      </c>
      <c r="G905" s="152">
        <v>363</v>
      </c>
    </row>
    <row r="906" spans="1:7" ht="15.75" x14ac:dyDescent="0.3">
      <c r="A906" s="148" t="s">
        <v>1130</v>
      </c>
      <c r="B906" s="149">
        <v>1136440</v>
      </c>
      <c r="C906" s="148" t="s">
        <v>1174</v>
      </c>
      <c r="D906" s="150">
        <v>46.22</v>
      </c>
      <c r="E906" s="151" t="s">
        <v>9</v>
      </c>
      <c r="F906" s="152">
        <v>1</v>
      </c>
      <c r="G906" s="152">
        <v>231</v>
      </c>
    </row>
    <row r="907" spans="1:7" ht="15.75" x14ac:dyDescent="0.3">
      <c r="A907" s="148" t="s">
        <v>1130</v>
      </c>
      <c r="B907" s="149">
        <v>1136441</v>
      </c>
      <c r="C907" s="148" t="s">
        <v>1175</v>
      </c>
      <c r="D907" s="150">
        <v>48.69</v>
      </c>
      <c r="E907" s="151" t="s">
        <v>9</v>
      </c>
      <c r="F907" s="152">
        <v>1</v>
      </c>
      <c r="G907" s="152">
        <v>231</v>
      </c>
    </row>
    <row r="908" spans="1:7" ht="15.75" x14ac:dyDescent="0.3">
      <c r="A908" s="148" t="s">
        <v>1130</v>
      </c>
      <c r="B908" s="149">
        <v>1136442</v>
      </c>
      <c r="C908" s="148" t="s">
        <v>1176</v>
      </c>
      <c r="D908" s="150">
        <v>49.62</v>
      </c>
      <c r="E908" s="151" t="s">
        <v>9</v>
      </c>
      <c r="F908" s="152">
        <v>1</v>
      </c>
      <c r="G908" s="152">
        <v>429</v>
      </c>
    </row>
    <row r="909" spans="1:7" ht="15.75" x14ac:dyDescent="0.3">
      <c r="A909" s="148" t="s">
        <v>1130</v>
      </c>
      <c r="B909" s="149">
        <v>1136443</v>
      </c>
      <c r="C909" s="148" t="s">
        <v>1177</v>
      </c>
      <c r="D909" s="150">
        <v>52.15</v>
      </c>
      <c r="E909" s="151" t="s">
        <v>9</v>
      </c>
      <c r="F909" s="152">
        <v>1</v>
      </c>
      <c r="G909" s="152">
        <v>363</v>
      </c>
    </row>
    <row r="910" spans="1:7" ht="15.75" x14ac:dyDescent="0.3">
      <c r="A910" s="148" t="s">
        <v>1130</v>
      </c>
      <c r="B910" s="149">
        <v>1136444</v>
      </c>
      <c r="C910" s="148" t="s">
        <v>1178</v>
      </c>
      <c r="D910" s="150">
        <v>56.75</v>
      </c>
      <c r="E910" s="151" t="s">
        <v>9</v>
      </c>
      <c r="F910" s="152">
        <v>1</v>
      </c>
      <c r="G910" s="152">
        <v>363</v>
      </c>
    </row>
    <row r="911" spans="1:7" ht="15.75" x14ac:dyDescent="0.3">
      <c r="A911" s="148" t="s">
        <v>1130</v>
      </c>
      <c r="B911" s="149">
        <v>1136445</v>
      </c>
      <c r="C911" s="148" t="s">
        <v>1179</v>
      </c>
      <c r="D911" s="150">
        <v>62</v>
      </c>
      <c r="E911" s="151" t="s">
        <v>9</v>
      </c>
      <c r="F911" s="152">
        <v>1</v>
      </c>
      <c r="G911" s="152">
        <v>231</v>
      </c>
    </row>
    <row r="912" spans="1:7" ht="15.75" x14ac:dyDescent="0.3">
      <c r="A912" s="148" t="s">
        <v>1130</v>
      </c>
      <c r="B912" s="149">
        <v>1136446</v>
      </c>
      <c r="C912" s="148" t="s">
        <v>1180</v>
      </c>
      <c r="D912" s="150">
        <v>66.64</v>
      </c>
      <c r="E912" s="151" t="s">
        <v>9</v>
      </c>
      <c r="F912" s="152">
        <v>1</v>
      </c>
      <c r="G912" s="152">
        <v>231</v>
      </c>
    </row>
    <row r="913" spans="1:7" ht="15.75" x14ac:dyDescent="0.3">
      <c r="A913" s="148" t="s">
        <v>1130</v>
      </c>
      <c r="B913" s="149">
        <v>1136447</v>
      </c>
      <c r="C913" s="148" t="s">
        <v>1181</v>
      </c>
      <c r="D913" s="150">
        <v>18.82</v>
      </c>
      <c r="E913" s="151" t="s">
        <v>9</v>
      </c>
      <c r="F913" s="152">
        <v>1</v>
      </c>
      <c r="G913" s="152">
        <v>5</v>
      </c>
    </row>
    <row r="914" spans="1:7" ht="15.75" x14ac:dyDescent="0.3">
      <c r="A914" s="148" t="s">
        <v>1130</v>
      </c>
      <c r="B914" s="149">
        <v>1136448</v>
      </c>
      <c r="C914" s="148" t="s">
        <v>1182</v>
      </c>
      <c r="D914" s="150">
        <v>19.38</v>
      </c>
      <c r="E914" s="151" t="s">
        <v>9</v>
      </c>
      <c r="F914" s="152">
        <v>1</v>
      </c>
      <c r="G914" s="152">
        <v>5</v>
      </c>
    </row>
    <row r="915" spans="1:7" ht="15.75" x14ac:dyDescent="0.3">
      <c r="A915" s="148" t="s">
        <v>1130</v>
      </c>
      <c r="B915" s="149">
        <v>1136449</v>
      </c>
      <c r="C915" s="148" t="s">
        <v>1183</v>
      </c>
      <c r="D915" s="150">
        <v>19.11</v>
      </c>
      <c r="E915" s="151" t="s">
        <v>9</v>
      </c>
      <c r="F915" s="152">
        <v>1</v>
      </c>
      <c r="G915" s="152">
        <v>5</v>
      </c>
    </row>
    <row r="916" spans="1:7" ht="15.75" x14ac:dyDescent="0.3">
      <c r="A916" s="148" t="s">
        <v>1130</v>
      </c>
      <c r="B916" s="149">
        <v>1136450</v>
      </c>
      <c r="C916" s="148" t="s">
        <v>1184</v>
      </c>
      <c r="D916" s="150">
        <v>20.32</v>
      </c>
      <c r="E916" s="151" t="s">
        <v>9</v>
      </c>
      <c r="F916" s="152">
        <v>1</v>
      </c>
      <c r="G916" s="152">
        <v>5</v>
      </c>
    </row>
    <row r="917" spans="1:7" ht="15.75" x14ac:dyDescent="0.3">
      <c r="A917" s="148" t="s">
        <v>1130</v>
      </c>
      <c r="B917" s="149">
        <v>1136452</v>
      </c>
      <c r="C917" s="148" t="s">
        <v>1185</v>
      </c>
      <c r="D917" s="150">
        <v>21.43</v>
      </c>
      <c r="E917" s="151" t="s">
        <v>9</v>
      </c>
      <c r="F917" s="152">
        <v>1</v>
      </c>
      <c r="G917" s="152">
        <v>5</v>
      </c>
    </row>
    <row r="918" spans="1:7" ht="15.75" x14ac:dyDescent="0.3">
      <c r="A918" s="148" t="s">
        <v>1130</v>
      </c>
      <c r="B918" s="149">
        <v>1136453</v>
      </c>
      <c r="C918" s="148" t="s">
        <v>1186</v>
      </c>
      <c r="D918" s="150">
        <v>20.63</v>
      </c>
      <c r="E918" s="151" t="s">
        <v>9</v>
      </c>
      <c r="F918" s="152">
        <v>1</v>
      </c>
      <c r="G918" s="152">
        <v>5</v>
      </c>
    </row>
    <row r="919" spans="1:7" ht="15.75" x14ac:dyDescent="0.3">
      <c r="A919" s="148" t="s">
        <v>1130</v>
      </c>
      <c r="B919" s="149">
        <v>1136457</v>
      </c>
      <c r="C919" s="148" t="s">
        <v>1187</v>
      </c>
      <c r="D919" s="150">
        <v>18.66</v>
      </c>
      <c r="E919" s="151" t="s">
        <v>9</v>
      </c>
      <c r="F919" s="152">
        <v>1</v>
      </c>
      <c r="G919" s="152">
        <v>5</v>
      </c>
    </row>
    <row r="920" spans="1:7" ht="15.75" x14ac:dyDescent="0.3">
      <c r="A920" s="148" t="s">
        <v>1130</v>
      </c>
      <c r="B920" s="149">
        <v>1136456</v>
      </c>
      <c r="C920" s="148" t="s">
        <v>1188</v>
      </c>
      <c r="D920" s="150">
        <v>13.14</v>
      </c>
      <c r="E920" s="151" t="s">
        <v>9</v>
      </c>
      <c r="F920" s="152">
        <v>1</v>
      </c>
      <c r="G920" s="152">
        <v>5</v>
      </c>
    </row>
    <row r="921" spans="1:7" ht="15.75" x14ac:dyDescent="0.3">
      <c r="A921" s="148" t="s">
        <v>1130</v>
      </c>
      <c r="B921" s="149">
        <v>1136458</v>
      </c>
      <c r="C921" s="148" t="s">
        <v>1189</v>
      </c>
      <c r="D921" s="150">
        <v>13.07</v>
      </c>
      <c r="E921" s="151" t="s">
        <v>9</v>
      </c>
      <c r="F921" s="152">
        <v>1</v>
      </c>
      <c r="G921" s="152">
        <v>5</v>
      </c>
    </row>
    <row r="922" spans="1:7" ht="15.75" x14ac:dyDescent="0.3">
      <c r="A922" s="148" t="s">
        <v>1130</v>
      </c>
      <c r="B922" s="149">
        <v>1136462</v>
      </c>
      <c r="C922" s="148" t="s">
        <v>1190</v>
      </c>
      <c r="D922" s="150">
        <v>18.12</v>
      </c>
      <c r="E922" s="151" t="s">
        <v>9</v>
      </c>
      <c r="F922" s="152">
        <v>1</v>
      </c>
      <c r="G922" s="152">
        <v>5</v>
      </c>
    </row>
    <row r="923" spans="1:7" ht="15.75" x14ac:dyDescent="0.3">
      <c r="A923" s="148" t="s">
        <v>1130</v>
      </c>
      <c r="B923" s="149">
        <v>1136463</v>
      </c>
      <c r="C923" s="148" t="s">
        <v>1191</v>
      </c>
      <c r="D923" s="150">
        <v>19.149999999999999</v>
      </c>
      <c r="E923" s="151" t="s">
        <v>9</v>
      </c>
      <c r="F923" s="152">
        <v>1</v>
      </c>
      <c r="G923" s="152">
        <v>5</v>
      </c>
    </row>
    <row r="924" spans="1:7" ht="15.75" x14ac:dyDescent="0.3">
      <c r="A924" s="148" t="s">
        <v>1130</v>
      </c>
      <c r="B924" s="149">
        <v>1136464</v>
      </c>
      <c r="C924" s="148" t="s">
        <v>1192</v>
      </c>
      <c r="D924" s="150">
        <v>18.41</v>
      </c>
      <c r="E924" s="151" t="s">
        <v>9</v>
      </c>
      <c r="F924" s="152">
        <v>1</v>
      </c>
      <c r="G924" s="152">
        <v>5</v>
      </c>
    </row>
    <row r="925" spans="1:7" ht="15.75" x14ac:dyDescent="0.3">
      <c r="A925" s="148" t="s">
        <v>1130</v>
      </c>
      <c r="B925" s="149">
        <v>1136465</v>
      </c>
      <c r="C925" s="148" t="s">
        <v>1193</v>
      </c>
      <c r="D925" s="150">
        <v>20.68</v>
      </c>
      <c r="E925" s="151" t="s">
        <v>9</v>
      </c>
      <c r="F925" s="152">
        <v>1</v>
      </c>
      <c r="G925" s="152">
        <v>5</v>
      </c>
    </row>
    <row r="926" spans="1:7" ht="15.75" x14ac:dyDescent="0.3">
      <c r="A926" s="148" t="s">
        <v>1130</v>
      </c>
      <c r="B926" s="149">
        <v>1136466</v>
      </c>
      <c r="C926" s="148" t="s">
        <v>1194</v>
      </c>
      <c r="D926" s="150">
        <v>19.97</v>
      </c>
      <c r="E926" s="151" t="s">
        <v>9</v>
      </c>
      <c r="F926" s="152">
        <v>1</v>
      </c>
      <c r="G926" s="152">
        <v>5</v>
      </c>
    </row>
    <row r="927" spans="1:7" ht="15.75" x14ac:dyDescent="0.3">
      <c r="A927" s="148" t="s">
        <v>1130</v>
      </c>
      <c r="B927" s="149">
        <v>1136469</v>
      </c>
      <c r="C927" s="148" t="s">
        <v>1195</v>
      </c>
      <c r="D927" s="150">
        <v>13.24</v>
      </c>
      <c r="E927" s="151" t="s">
        <v>9</v>
      </c>
      <c r="F927" s="152">
        <v>1</v>
      </c>
      <c r="G927" s="152">
        <v>5</v>
      </c>
    </row>
    <row r="928" spans="1:7" ht="15.75" x14ac:dyDescent="0.3">
      <c r="A928" s="148" t="s">
        <v>1130</v>
      </c>
      <c r="B928" s="149">
        <v>1136470</v>
      </c>
      <c r="C928" s="148" t="s">
        <v>1196</v>
      </c>
      <c r="D928" s="150">
        <v>17.829999999999998</v>
      </c>
      <c r="E928" s="151" t="s">
        <v>9</v>
      </c>
      <c r="F928" s="152">
        <v>1</v>
      </c>
      <c r="G928" s="152">
        <v>5</v>
      </c>
    </row>
    <row r="929" spans="1:7" ht="15.75" x14ac:dyDescent="0.3">
      <c r="A929" s="148" t="s">
        <v>1130</v>
      </c>
      <c r="B929" s="149">
        <v>1136471</v>
      </c>
      <c r="C929" s="148" t="s">
        <v>1197</v>
      </c>
      <c r="D929" s="150">
        <v>13.15</v>
      </c>
      <c r="E929" s="151" t="s">
        <v>9</v>
      </c>
      <c r="F929" s="152">
        <v>1</v>
      </c>
      <c r="G929" s="152">
        <v>5</v>
      </c>
    </row>
    <row r="930" spans="1:7" ht="15.75" x14ac:dyDescent="0.3">
      <c r="A930" s="148" t="s">
        <v>1130</v>
      </c>
      <c r="B930" s="149">
        <v>1134571</v>
      </c>
      <c r="C930" s="148" t="s">
        <v>1198</v>
      </c>
      <c r="D930" s="150">
        <v>17.72</v>
      </c>
      <c r="E930" s="151" t="s">
        <v>9</v>
      </c>
      <c r="F930" s="152">
        <v>1</v>
      </c>
      <c r="G930" s="152">
        <v>27</v>
      </c>
    </row>
    <row r="931" spans="1:7" ht="15.75" x14ac:dyDescent="0.3">
      <c r="A931" s="148" t="s">
        <v>1130</v>
      </c>
      <c r="B931" s="149">
        <v>1134572</v>
      </c>
      <c r="C931" s="148" t="s">
        <v>1199</v>
      </c>
      <c r="D931" s="150">
        <v>6.92</v>
      </c>
      <c r="E931" s="151" t="s">
        <v>9</v>
      </c>
      <c r="F931" s="152">
        <v>1</v>
      </c>
      <c r="G931" s="152">
        <v>100</v>
      </c>
    </row>
    <row r="932" spans="1:7" ht="15.75" x14ac:dyDescent="0.3">
      <c r="A932" s="148" t="s">
        <v>339</v>
      </c>
      <c r="B932" s="149">
        <v>1062883</v>
      </c>
      <c r="C932" s="148" t="s">
        <v>1200</v>
      </c>
      <c r="D932" s="150">
        <v>2.06</v>
      </c>
      <c r="E932" s="151" t="s">
        <v>7</v>
      </c>
      <c r="F932" s="152">
        <v>120</v>
      </c>
      <c r="G932" s="152">
        <v>1320</v>
      </c>
    </row>
    <row r="933" spans="1:7" ht="15.75" x14ac:dyDescent="0.3">
      <c r="A933" s="148" t="s">
        <v>339</v>
      </c>
      <c r="B933" s="149">
        <v>1062884</v>
      </c>
      <c r="C933" s="148" t="s">
        <v>1201</v>
      </c>
      <c r="D933" s="150">
        <v>2.06</v>
      </c>
      <c r="E933" s="151" t="s">
        <v>7</v>
      </c>
      <c r="F933" s="152">
        <v>240</v>
      </c>
      <c r="G933" s="152">
        <v>1680</v>
      </c>
    </row>
    <row r="934" spans="1:7" ht="15.75" x14ac:dyDescent="0.3">
      <c r="A934" s="148" t="s">
        <v>339</v>
      </c>
      <c r="B934" s="149">
        <v>1062044</v>
      </c>
      <c r="C934" s="148" t="s">
        <v>1202</v>
      </c>
      <c r="D934" s="150">
        <v>2.62</v>
      </c>
      <c r="E934" s="151" t="s">
        <v>7</v>
      </c>
      <c r="F934" s="152">
        <v>120</v>
      </c>
      <c r="G934" s="152">
        <v>1080</v>
      </c>
    </row>
    <row r="935" spans="1:7" ht="15.75" x14ac:dyDescent="0.3">
      <c r="A935" s="148" t="s">
        <v>339</v>
      </c>
      <c r="B935" s="149">
        <v>1062045</v>
      </c>
      <c r="C935" s="148" t="s">
        <v>1203</v>
      </c>
      <c r="D935" s="150">
        <v>2.62</v>
      </c>
      <c r="E935" s="151" t="s">
        <v>7</v>
      </c>
      <c r="F935" s="152">
        <v>240</v>
      </c>
      <c r="G935" s="152">
        <v>1440</v>
      </c>
    </row>
    <row r="936" spans="1:7" ht="15.75" x14ac:dyDescent="0.3">
      <c r="A936" s="148" t="s">
        <v>339</v>
      </c>
      <c r="B936" s="149">
        <v>1062046</v>
      </c>
      <c r="C936" s="148" t="s">
        <v>1204</v>
      </c>
      <c r="D936" s="150">
        <v>2.62</v>
      </c>
      <c r="E936" s="151" t="s">
        <v>7</v>
      </c>
      <c r="F936" s="152">
        <v>640</v>
      </c>
      <c r="G936" s="152">
        <v>1280</v>
      </c>
    </row>
    <row r="937" spans="1:7" ht="15.75" x14ac:dyDescent="0.3">
      <c r="A937" s="148" t="s">
        <v>339</v>
      </c>
      <c r="B937" s="149">
        <v>1034535</v>
      </c>
      <c r="C937" s="148" t="s">
        <v>1205</v>
      </c>
      <c r="D937" s="150">
        <v>2.76</v>
      </c>
      <c r="E937" s="151" t="s">
        <v>7</v>
      </c>
      <c r="F937" s="152">
        <v>120</v>
      </c>
      <c r="G937" s="152">
        <v>840</v>
      </c>
    </row>
    <row r="938" spans="1:7" ht="15.75" x14ac:dyDescent="0.3">
      <c r="A938" s="148" t="s">
        <v>339</v>
      </c>
      <c r="B938" s="149">
        <v>1009226</v>
      </c>
      <c r="C938" s="148" t="s">
        <v>1206</v>
      </c>
      <c r="D938" s="150">
        <v>2.76</v>
      </c>
      <c r="E938" s="151" t="s">
        <v>7</v>
      </c>
      <c r="F938" s="152">
        <v>240</v>
      </c>
      <c r="G938" s="152">
        <v>1200</v>
      </c>
    </row>
    <row r="939" spans="1:7" ht="15.75" x14ac:dyDescent="0.3">
      <c r="A939" s="148" t="s">
        <v>339</v>
      </c>
      <c r="B939" s="149">
        <v>1086340</v>
      </c>
      <c r="C939" s="148" t="s">
        <v>1207</v>
      </c>
      <c r="D939" s="150">
        <v>2.76</v>
      </c>
      <c r="E939" s="151" t="s">
        <v>7</v>
      </c>
      <c r="F939" s="152">
        <v>480</v>
      </c>
      <c r="G939" s="152">
        <v>960</v>
      </c>
    </row>
    <row r="940" spans="1:7" ht="15.75" x14ac:dyDescent="0.3">
      <c r="A940" s="148" t="s">
        <v>339</v>
      </c>
      <c r="B940" s="149">
        <v>1009227</v>
      </c>
      <c r="C940" s="148" t="s">
        <v>1208</v>
      </c>
      <c r="D940" s="150">
        <v>2.76</v>
      </c>
      <c r="E940" s="151" t="s">
        <v>7</v>
      </c>
      <c r="F940" s="152">
        <v>640</v>
      </c>
      <c r="G940" s="152">
        <v>1280</v>
      </c>
    </row>
    <row r="941" spans="1:7" ht="15.75" x14ac:dyDescent="0.3">
      <c r="A941" s="148" t="s">
        <v>339</v>
      </c>
      <c r="B941" s="149">
        <v>1009228</v>
      </c>
      <c r="C941" s="148" t="s">
        <v>1209</v>
      </c>
      <c r="D941" s="150">
        <v>3.09</v>
      </c>
      <c r="E941" s="151" t="s">
        <v>7</v>
      </c>
      <c r="F941" s="152">
        <v>120</v>
      </c>
      <c r="G941" s="152">
        <v>840</v>
      </c>
    </row>
    <row r="942" spans="1:7" ht="15.75" x14ac:dyDescent="0.3">
      <c r="A942" s="148" t="s">
        <v>339</v>
      </c>
      <c r="B942" s="149">
        <v>1009230</v>
      </c>
      <c r="C942" s="148" t="s">
        <v>1210</v>
      </c>
      <c r="D942" s="150">
        <v>3.09</v>
      </c>
      <c r="E942" s="151" t="s">
        <v>7</v>
      </c>
      <c r="F942" s="152">
        <v>240</v>
      </c>
      <c r="G942" s="152">
        <v>960</v>
      </c>
    </row>
    <row r="943" spans="1:7" ht="15.75" x14ac:dyDescent="0.3">
      <c r="A943" s="148" t="s">
        <v>339</v>
      </c>
      <c r="B943" s="149">
        <v>1009231</v>
      </c>
      <c r="C943" s="148" t="s">
        <v>1211</v>
      </c>
      <c r="D943" s="150">
        <v>3.09</v>
      </c>
      <c r="E943" s="151" t="s">
        <v>7</v>
      </c>
      <c r="F943" s="152">
        <v>480</v>
      </c>
      <c r="G943" s="152">
        <v>960</v>
      </c>
    </row>
    <row r="944" spans="1:7" ht="15.75" x14ac:dyDescent="0.3">
      <c r="A944" s="148" t="s">
        <v>339</v>
      </c>
      <c r="B944" s="149">
        <v>1009232</v>
      </c>
      <c r="C944" s="148" t="s">
        <v>1212</v>
      </c>
      <c r="D944" s="150">
        <v>3.09</v>
      </c>
      <c r="E944" s="151" t="s">
        <v>7</v>
      </c>
      <c r="F944" s="152">
        <v>1000</v>
      </c>
      <c r="G944" s="149"/>
    </row>
    <row r="945" spans="1:7" ht="15.75" x14ac:dyDescent="0.3">
      <c r="A945" s="148" t="s">
        <v>339</v>
      </c>
      <c r="B945" s="149">
        <v>1062888</v>
      </c>
      <c r="C945" s="148" t="s">
        <v>1213</v>
      </c>
      <c r="D945" s="150">
        <v>3.9</v>
      </c>
      <c r="E945" s="151" t="s">
        <v>7</v>
      </c>
      <c r="F945" s="152">
        <v>220</v>
      </c>
      <c r="G945" s="152">
        <v>440</v>
      </c>
    </row>
    <row r="946" spans="1:7" ht="15.75" x14ac:dyDescent="0.3">
      <c r="A946" s="148" t="s">
        <v>339</v>
      </c>
      <c r="B946" s="149">
        <v>1062889</v>
      </c>
      <c r="C946" s="148" t="s">
        <v>1214</v>
      </c>
      <c r="D946" s="150">
        <v>3.9</v>
      </c>
      <c r="E946" s="151" t="s">
        <v>7</v>
      </c>
      <c r="F946" s="152">
        <v>300</v>
      </c>
      <c r="G946" s="152">
        <v>600</v>
      </c>
    </row>
    <row r="947" spans="1:7" ht="15.75" x14ac:dyDescent="0.3">
      <c r="A947" s="148" t="s">
        <v>339</v>
      </c>
      <c r="B947" s="149">
        <v>1063907</v>
      </c>
      <c r="C947" s="148" t="s">
        <v>1215</v>
      </c>
      <c r="D947" s="150">
        <v>3.9</v>
      </c>
      <c r="E947" s="151" t="s">
        <v>7</v>
      </c>
      <c r="F947" s="152">
        <v>640</v>
      </c>
      <c r="G947" s="149"/>
    </row>
    <row r="948" spans="1:7" ht="15.75" x14ac:dyDescent="0.3">
      <c r="A948" s="148" t="s">
        <v>70</v>
      </c>
      <c r="B948" s="149">
        <v>1063288</v>
      </c>
      <c r="C948" s="148" t="s">
        <v>1216</v>
      </c>
      <c r="D948" s="150">
        <v>2.2000000000000002</v>
      </c>
      <c r="E948" s="151" t="s">
        <v>7</v>
      </c>
      <c r="F948" s="152">
        <v>120</v>
      </c>
      <c r="G948" s="152">
        <v>1680</v>
      </c>
    </row>
    <row r="949" spans="1:7" ht="15.75" x14ac:dyDescent="0.3">
      <c r="A949" s="148" t="s">
        <v>70</v>
      </c>
      <c r="B949" s="149">
        <v>1063289</v>
      </c>
      <c r="C949" s="148" t="s">
        <v>1217</v>
      </c>
      <c r="D949" s="150">
        <v>2.2000000000000002</v>
      </c>
      <c r="E949" s="151" t="s">
        <v>7</v>
      </c>
      <c r="F949" s="152">
        <v>240</v>
      </c>
      <c r="G949" s="152">
        <v>2640</v>
      </c>
    </row>
    <row r="950" spans="1:7" ht="15.75" x14ac:dyDescent="0.3">
      <c r="A950" s="148" t="s">
        <v>70</v>
      </c>
      <c r="B950" s="149">
        <v>1063381</v>
      </c>
      <c r="C950" s="148" t="s">
        <v>1218</v>
      </c>
      <c r="D950" s="150">
        <v>2.2000000000000002</v>
      </c>
      <c r="E950" s="151" t="s">
        <v>7</v>
      </c>
      <c r="F950" s="152">
        <v>480</v>
      </c>
      <c r="G950" s="152">
        <v>2880</v>
      </c>
    </row>
    <row r="951" spans="1:7" ht="15.75" x14ac:dyDescent="0.3">
      <c r="A951" s="148" t="s">
        <v>70</v>
      </c>
      <c r="B951" s="149">
        <v>1126867</v>
      </c>
      <c r="C951" s="148" t="s">
        <v>1219</v>
      </c>
      <c r="D951" s="150">
        <v>2.1800000000000002</v>
      </c>
      <c r="E951" s="151" t="s">
        <v>7</v>
      </c>
      <c r="F951" s="152">
        <v>1000</v>
      </c>
      <c r="G951" s="152">
        <v>2000</v>
      </c>
    </row>
    <row r="952" spans="1:7" ht="15.75" x14ac:dyDescent="0.3">
      <c r="A952" s="148" t="s">
        <v>340</v>
      </c>
      <c r="B952" s="149">
        <v>1119470</v>
      </c>
      <c r="C952" s="148" t="s">
        <v>1220</v>
      </c>
      <c r="D952" s="150">
        <v>2.83</v>
      </c>
      <c r="E952" s="151" t="s">
        <v>7</v>
      </c>
      <c r="F952" s="152">
        <v>240</v>
      </c>
      <c r="G952" s="152">
        <v>1440</v>
      </c>
    </row>
    <row r="953" spans="1:7" ht="15.75" x14ac:dyDescent="0.3">
      <c r="A953" s="148" t="s">
        <v>340</v>
      </c>
      <c r="B953" s="149">
        <v>1119471</v>
      </c>
      <c r="C953" s="148" t="s">
        <v>1221</v>
      </c>
      <c r="D953" s="150">
        <v>2.83</v>
      </c>
      <c r="E953" s="151" t="s">
        <v>7</v>
      </c>
      <c r="F953" s="152">
        <v>640</v>
      </c>
      <c r="G953" s="152">
        <v>1280</v>
      </c>
    </row>
    <row r="954" spans="1:7" ht="15.75" x14ac:dyDescent="0.3">
      <c r="A954" s="148" t="s">
        <v>340</v>
      </c>
      <c r="B954" s="149">
        <v>1119472</v>
      </c>
      <c r="C954" s="148" t="s">
        <v>1222</v>
      </c>
      <c r="D954" s="150">
        <v>3.24</v>
      </c>
      <c r="E954" s="151" t="s">
        <v>7</v>
      </c>
      <c r="F954" s="152">
        <v>240</v>
      </c>
      <c r="G954" s="152">
        <v>960</v>
      </c>
    </row>
    <row r="955" spans="1:7" ht="15.75" x14ac:dyDescent="0.3">
      <c r="A955" s="148" t="s">
        <v>340</v>
      </c>
      <c r="B955" s="149">
        <v>1119533</v>
      </c>
      <c r="C955" s="148" t="s">
        <v>1223</v>
      </c>
      <c r="D955" s="150">
        <v>3.24</v>
      </c>
      <c r="E955" s="151" t="s">
        <v>7</v>
      </c>
      <c r="F955" s="152">
        <v>480</v>
      </c>
      <c r="G955" s="152">
        <v>960</v>
      </c>
    </row>
    <row r="956" spans="1:7" ht="15.75" x14ac:dyDescent="0.3">
      <c r="A956" s="148" t="s">
        <v>101</v>
      </c>
      <c r="B956" s="149">
        <v>1065283</v>
      </c>
      <c r="C956" s="148" t="s">
        <v>84</v>
      </c>
      <c r="D956" s="150">
        <v>8.84</v>
      </c>
      <c r="E956" s="151" t="s">
        <v>9</v>
      </c>
      <c r="F956" s="152">
        <v>1</v>
      </c>
      <c r="G956" s="152">
        <v>25</v>
      </c>
    </row>
    <row r="957" spans="1:7" ht="15.75" x14ac:dyDescent="0.3">
      <c r="A957" s="148" t="s">
        <v>101</v>
      </c>
      <c r="B957" s="149">
        <v>1065284</v>
      </c>
      <c r="C957" s="148" t="s">
        <v>76</v>
      </c>
      <c r="D957" s="150">
        <v>5.64</v>
      </c>
      <c r="E957" s="151" t="s">
        <v>9</v>
      </c>
      <c r="F957" s="152">
        <v>1</v>
      </c>
      <c r="G957" s="152">
        <v>25</v>
      </c>
    </row>
    <row r="958" spans="1:7" ht="15.75" x14ac:dyDescent="0.3">
      <c r="A958" s="148" t="s">
        <v>101</v>
      </c>
      <c r="B958" s="149">
        <v>1065286</v>
      </c>
      <c r="C958" s="148" t="s">
        <v>77</v>
      </c>
      <c r="D958" s="150">
        <v>6.04</v>
      </c>
      <c r="E958" s="151" t="s">
        <v>9</v>
      </c>
      <c r="F958" s="152">
        <v>1</v>
      </c>
      <c r="G958" s="152">
        <v>25</v>
      </c>
    </row>
    <row r="959" spans="1:7" ht="15.75" x14ac:dyDescent="0.3">
      <c r="A959" s="148" t="s">
        <v>101</v>
      </c>
      <c r="B959" s="149">
        <v>1065290</v>
      </c>
      <c r="C959" s="148" t="s">
        <v>78</v>
      </c>
      <c r="D959" s="150">
        <v>6.04</v>
      </c>
      <c r="E959" s="151" t="s">
        <v>9</v>
      </c>
      <c r="F959" s="152">
        <v>1</v>
      </c>
      <c r="G959" s="152">
        <v>25</v>
      </c>
    </row>
    <row r="960" spans="1:7" ht="15.75" x14ac:dyDescent="0.3">
      <c r="A960" s="148" t="s">
        <v>81</v>
      </c>
      <c r="B960" s="149">
        <v>1065291</v>
      </c>
      <c r="C960" s="148" t="s">
        <v>1224</v>
      </c>
      <c r="D960" s="150">
        <v>32.049999999999997</v>
      </c>
      <c r="E960" s="151" t="s">
        <v>9</v>
      </c>
      <c r="F960" s="152">
        <v>1</v>
      </c>
      <c r="G960" s="152">
        <v>25</v>
      </c>
    </row>
    <row r="961" spans="1:7" ht="15.75" x14ac:dyDescent="0.3">
      <c r="A961" s="148" t="s">
        <v>1225</v>
      </c>
      <c r="B961" s="149">
        <v>1086575</v>
      </c>
      <c r="C961" s="148" t="s">
        <v>1226</v>
      </c>
      <c r="D961" s="150" t="s">
        <v>1227</v>
      </c>
      <c r="E961" s="151" t="s">
        <v>7</v>
      </c>
      <c r="F961" s="152">
        <v>240</v>
      </c>
      <c r="G961" s="152">
        <v>1440</v>
      </c>
    </row>
    <row r="962" spans="1:7" ht="15.75" x14ac:dyDescent="0.3">
      <c r="A962" s="148" t="s">
        <v>81</v>
      </c>
      <c r="B962" s="149">
        <v>1086576</v>
      </c>
      <c r="C962" s="148" t="s">
        <v>1228</v>
      </c>
      <c r="D962" s="150" t="s">
        <v>1227</v>
      </c>
      <c r="E962" s="151" t="s">
        <v>7</v>
      </c>
      <c r="F962" s="152">
        <v>640</v>
      </c>
      <c r="G962" s="152">
        <v>1280</v>
      </c>
    </row>
    <row r="963" spans="1:7" ht="15.75" x14ac:dyDescent="0.3">
      <c r="A963" s="148" t="s">
        <v>1225</v>
      </c>
      <c r="B963" s="149">
        <v>1086577</v>
      </c>
      <c r="C963" s="148" t="s">
        <v>1229</v>
      </c>
      <c r="D963" s="150" t="s">
        <v>1230</v>
      </c>
      <c r="E963" s="151" t="s">
        <v>7</v>
      </c>
      <c r="F963" s="152">
        <v>240</v>
      </c>
      <c r="G963" s="152">
        <v>960</v>
      </c>
    </row>
    <row r="964" spans="1:7" ht="15.75" x14ac:dyDescent="0.3">
      <c r="A964" s="148" t="s">
        <v>81</v>
      </c>
      <c r="B964" s="149">
        <v>1086578</v>
      </c>
      <c r="C964" s="148" t="s">
        <v>1231</v>
      </c>
      <c r="D964" s="150" t="s">
        <v>1230</v>
      </c>
      <c r="E964" s="151" t="s">
        <v>7</v>
      </c>
      <c r="F964" s="152">
        <v>480</v>
      </c>
      <c r="G964" s="152">
        <v>960</v>
      </c>
    </row>
    <row r="965" spans="1:7" ht="15.75" x14ac:dyDescent="0.3">
      <c r="A965" s="148" t="s">
        <v>341</v>
      </c>
      <c r="B965" s="149">
        <v>1020518</v>
      </c>
      <c r="C965" s="148" t="s">
        <v>1232</v>
      </c>
      <c r="D965" s="150">
        <v>13.62</v>
      </c>
      <c r="E965" s="151" t="s">
        <v>9</v>
      </c>
      <c r="F965" s="152">
        <v>5</v>
      </c>
      <c r="G965" s="152">
        <v>150</v>
      </c>
    </row>
    <row r="966" spans="1:7" ht="15.75" x14ac:dyDescent="0.3">
      <c r="A966" s="148" t="s">
        <v>341</v>
      </c>
      <c r="B966" s="149">
        <v>1020524</v>
      </c>
      <c r="C966" s="148" t="s">
        <v>1233</v>
      </c>
      <c r="D966" s="150">
        <v>13.62</v>
      </c>
      <c r="E966" s="151" t="s">
        <v>9</v>
      </c>
      <c r="F966" s="152">
        <v>5</v>
      </c>
      <c r="G966" s="152">
        <v>75</v>
      </c>
    </row>
    <row r="967" spans="1:7" ht="15.75" x14ac:dyDescent="0.3">
      <c r="A967" s="148" t="s">
        <v>79</v>
      </c>
      <c r="B967" s="149">
        <v>1058428</v>
      </c>
      <c r="C967" s="148" t="s">
        <v>1234</v>
      </c>
      <c r="D967" s="150">
        <v>0.11</v>
      </c>
      <c r="E967" s="151" t="s">
        <v>9</v>
      </c>
      <c r="F967" s="152">
        <v>20</v>
      </c>
      <c r="G967" s="152">
        <v>900</v>
      </c>
    </row>
    <row r="968" spans="1:7" ht="15.75" x14ac:dyDescent="0.3">
      <c r="A968" s="148" t="s">
        <v>79</v>
      </c>
      <c r="B968" s="149">
        <v>1058659</v>
      </c>
      <c r="C968" s="148" t="s">
        <v>1235</v>
      </c>
      <c r="D968" s="150">
        <v>9.5</v>
      </c>
      <c r="E968" s="151" t="s">
        <v>9</v>
      </c>
      <c r="F968" s="152">
        <v>10</v>
      </c>
      <c r="G968" s="152">
        <v>100</v>
      </c>
    </row>
    <row r="969" spans="1:7" ht="15.75" x14ac:dyDescent="0.3">
      <c r="A969" s="148" t="s">
        <v>75</v>
      </c>
      <c r="B969" s="149">
        <v>1058660</v>
      </c>
      <c r="C969" s="148" t="s">
        <v>1236</v>
      </c>
      <c r="D969" s="150">
        <v>9.5</v>
      </c>
      <c r="E969" s="151" t="s">
        <v>9</v>
      </c>
      <c r="F969" s="152">
        <v>10</v>
      </c>
      <c r="G969" s="152">
        <v>100</v>
      </c>
    </row>
    <row r="970" spans="1:7" ht="15.75" x14ac:dyDescent="0.3">
      <c r="A970" s="148" t="s">
        <v>75</v>
      </c>
      <c r="B970" s="149">
        <v>1058661</v>
      </c>
      <c r="C970" s="148" t="s">
        <v>1237</v>
      </c>
      <c r="D970" s="150">
        <v>9.5</v>
      </c>
      <c r="E970" s="151" t="s">
        <v>9</v>
      </c>
      <c r="F970" s="152">
        <v>10</v>
      </c>
      <c r="G970" s="152">
        <v>100</v>
      </c>
    </row>
    <row r="971" spans="1:7" ht="15.75" x14ac:dyDescent="0.3">
      <c r="A971" s="148" t="s">
        <v>75</v>
      </c>
      <c r="B971" s="149">
        <v>1058668</v>
      </c>
      <c r="C971" s="148" t="s">
        <v>1238</v>
      </c>
      <c r="D971" s="150">
        <v>9.5</v>
      </c>
      <c r="E971" s="151" t="s">
        <v>9</v>
      </c>
      <c r="F971" s="152">
        <v>10</v>
      </c>
      <c r="G971" s="152">
        <v>80</v>
      </c>
    </row>
    <row r="972" spans="1:7" ht="15.75" x14ac:dyDescent="0.3">
      <c r="A972" s="148" t="s">
        <v>17</v>
      </c>
      <c r="B972" s="149">
        <v>1063939</v>
      </c>
      <c r="C972" s="148" t="s">
        <v>1239</v>
      </c>
      <c r="D972" s="150">
        <v>14.45</v>
      </c>
      <c r="E972" s="151" t="s">
        <v>9</v>
      </c>
      <c r="F972" s="152">
        <v>2</v>
      </c>
      <c r="G972" s="152">
        <v>12</v>
      </c>
    </row>
    <row r="973" spans="1:7" ht="15.75" x14ac:dyDescent="0.3">
      <c r="A973" s="148" t="s">
        <v>343</v>
      </c>
      <c r="B973" s="149">
        <v>1063938</v>
      </c>
      <c r="C973" s="148" t="s">
        <v>1240</v>
      </c>
      <c r="D973" s="150">
        <v>14.7</v>
      </c>
      <c r="E973" s="151" t="s">
        <v>9</v>
      </c>
      <c r="F973" s="152">
        <v>2</v>
      </c>
      <c r="G973" s="152">
        <v>6</v>
      </c>
    </row>
    <row r="974" spans="1:7" ht="15.75" x14ac:dyDescent="0.3">
      <c r="A974" s="148" t="s">
        <v>69</v>
      </c>
      <c r="B974" s="149">
        <v>1063932</v>
      </c>
      <c r="C974" s="148" t="s">
        <v>1241</v>
      </c>
      <c r="D974" s="150">
        <v>16.68</v>
      </c>
      <c r="E974" s="151" t="s">
        <v>9</v>
      </c>
      <c r="F974" s="152">
        <v>2</v>
      </c>
      <c r="G974" s="152">
        <v>6</v>
      </c>
    </row>
    <row r="975" spans="1:7" ht="15.75" x14ac:dyDescent="0.3">
      <c r="A975" s="148" t="s">
        <v>70</v>
      </c>
      <c r="B975" s="149">
        <v>1005261</v>
      </c>
      <c r="C975" s="148" t="s">
        <v>1242</v>
      </c>
      <c r="D975" s="150">
        <v>30.08</v>
      </c>
      <c r="E975" s="151" t="s">
        <v>8</v>
      </c>
      <c r="F975" s="152">
        <v>15.4</v>
      </c>
      <c r="G975" s="152">
        <v>123.2</v>
      </c>
    </row>
    <row r="976" spans="1:7" ht="15.75" x14ac:dyDescent="0.3">
      <c r="A976" s="148" t="s">
        <v>70</v>
      </c>
      <c r="B976" s="149">
        <v>1005267</v>
      </c>
      <c r="C976" s="148" t="s">
        <v>1243</v>
      </c>
      <c r="D976" s="150">
        <v>0.76</v>
      </c>
      <c r="E976" s="151" t="s">
        <v>7</v>
      </c>
      <c r="F976" s="152">
        <v>20</v>
      </c>
      <c r="G976" s="152">
        <v>200</v>
      </c>
    </row>
    <row r="977" spans="1:7" ht="15.75" x14ac:dyDescent="0.3">
      <c r="A977" s="148" t="s">
        <v>70</v>
      </c>
      <c r="B977" s="149">
        <v>1085980</v>
      </c>
      <c r="C977" s="148" t="s">
        <v>1244</v>
      </c>
      <c r="D977" s="150">
        <v>10.57</v>
      </c>
      <c r="E977" s="151" t="s">
        <v>9</v>
      </c>
      <c r="F977" s="152">
        <v>10</v>
      </c>
      <c r="G977" s="152">
        <v>600</v>
      </c>
    </row>
    <row r="978" spans="1:7" ht="15.75" x14ac:dyDescent="0.3">
      <c r="A978" s="148" t="s">
        <v>70</v>
      </c>
      <c r="B978" s="149">
        <v>1085981</v>
      </c>
      <c r="C978" s="148" t="s">
        <v>1245</v>
      </c>
      <c r="D978" s="150">
        <v>13.2</v>
      </c>
      <c r="E978" s="151" t="s">
        <v>9</v>
      </c>
      <c r="F978" s="152">
        <v>10</v>
      </c>
      <c r="G978" s="152">
        <v>600</v>
      </c>
    </row>
    <row r="979" spans="1:7" ht="15.75" x14ac:dyDescent="0.3">
      <c r="A979" s="148" t="s">
        <v>70</v>
      </c>
      <c r="B979" s="149">
        <v>1005269</v>
      </c>
      <c r="C979" s="148" t="s">
        <v>1246</v>
      </c>
      <c r="D979" s="150">
        <v>1.94</v>
      </c>
      <c r="E979" s="151" t="s">
        <v>9</v>
      </c>
      <c r="F979" s="152">
        <v>30</v>
      </c>
      <c r="G979" s="152">
        <v>3600</v>
      </c>
    </row>
    <row r="980" spans="1:7" ht="15.75" x14ac:dyDescent="0.3">
      <c r="A980" s="148" t="s">
        <v>70</v>
      </c>
      <c r="B980" s="149">
        <v>1005266</v>
      </c>
      <c r="C980" s="148" t="s">
        <v>1247</v>
      </c>
      <c r="D980" s="150">
        <v>9.92</v>
      </c>
      <c r="E980" s="151" t="s">
        <v>9</v>
      </c>
      <c r="F980" s="152">
        <v>10</v>
      </c>
      <c r="G980" s="152">
        <v>100</v>
      </c>
    </row>
    <row r="981" spans="1:7" ht="15.75" x14ac:dyDescent="0.3">
      <c r="A981" s="148" t="s">
        <v>341</v>
      </c>
      <c r="B981" s="149">
        <v>1005264</v>
      </c>
      <c r="C981" s="148" t="s">
        <v>1248</v>
      </c>
      <c r="D981" s="150">
        <v>5.81</v>
      </c>
      <c r="E981" s="151" t="s">
        <v>9</v>
      </c>
      <c r="F981" s="152">
        <v>10</v>
      </c>
      <c r="G981" s="152">
        <v>100</v>
      </c>
    </row>
    <row r="982" spans="1:7" ht="15.75" x14ac:dyDescent="0.3">
      <c r="A982" s="148" t="s">
        <v>341</v>
      </c>
      <c r="B982" s="149">
        <v>1005265</v>
      </c>
      <c r="C982" s="148" t="s">
        <v>1249</v>
      </c>
      <c r="D982" s="150">
        <v>8.26</v>
      </c>
      <c r="E982" s="151" t="s">
        <v>9</v>
      </c>
      <c r="F982" s="152">
        <v>10</v>
      </c>
      <c r="G982" s="152">
        <v>100</v>
      </c>
    </row>
    <row r="983" spans="1:7" ht="15.75" x14ac:dyDescent="0.3">
      <c r="A983" s="148" t="s">
        <v>70</v>
      </c>
      <c r="B983" s="149">
        <v>1005263</v>
      </c>
      <c r="C983" s="148" t="s">
        <v>1250</v>
      </c>
      <c r="D983" s="150">
        <v>1.63</v>
      </c>
      <c r="E983" s="151" t="s">
        <v>9</v>
      </c>
      <c r="F983" s="152">
        <v>10</v>
      </c>
      <c r="G983" s="152">
        <v>1600</v>
      </c>
    </row>
    <row r="984" spans="1:7" ht="15.75" x14ac:dyDescent="0.3">
      <c r="A984" s="148" t="s">
        <v>71</v>
      </c>
      <c r="B984" s="149">
        <v>1005478</v>
      </c>
      <c r="C984" s="148" t="s">
        <v>1251</v>
      </c>
      <c r="D984" s="150">
        <v>25.78</v>
      </c>
      <c r="E984" s="151" t="s">
        <v>8</v>
      </c>
      <c r="F984" s="152">
        <v>8.9600000000000009</v>
      </c>
      <c r="G984" s="152">
        <v>53.76</v>
      </c>
    </row>
    <row r="985" spans="1:7" ht="15.75" x14ac:dyDescent="0.3">
      <c r="A985" s="148" t="s">
        <v>71</v>
      </c>
      <c r="B985" s="149">
        <v>1005477</v>
      </c>
      <c r="C985" s="148" t="s">
        <v>1252</v>
      </c>
      <c r="D985" s="150">
        <v>21.5</v>
      </c>
      <c r="E985" s="151" t="s">
        <v>8</v>
      </c>
      <c r="F985" s="152">
        <v>15.68</v>
      </c>
      <c r="G985" s="152">
        <v>94.08</v>
      </c>
    </row>
    <row r="986" spans="1:7" ht="15.75" x14ac:dyDescent="0.3">
      <c r="A986" s="148" t="s">
        <v>71</v>
      </c>
      <c r="B986" s="149">
        <v>1005484</v>
      </c>
      <c r="C986" s="148" t="s">
        <v>1253</v>
      </c>
      <c r="D986" s="150">
        <v>2.36</v>
      </c>
      <c r="E986" s="151" t="s">
        <v>7</v>
      </c>
      <c r="F986" s="152">
        <v>33.75</v>
      </c>
      <c r="G986" s="152">
        <v>742.5</v>
      </c>
    </row>
    <row r="987" spans="1:7" ht="15.75" x14ac:dyDescent="0.3">
      <c r="A987" s="148" t="s">
        <v>71</v>
      </c>
      <c r="B987" s="149">
        <v>1005481</v>
      </c>
      <c r="C987" s="148" t="s">
        <v>1254</v>
      </c>
      <c r="D987" s="150">
        <v>4.1500000000000004</v>
      </c>
      <c r="E987" s="151" t="s">
        <v>7</v>
      </c>
      <c r="F987" s="152">
        <v>28</v>
      </c>
      <c r="G987" s="152">
        <v>504</v>
      </c>
    </row>
    <row r="988" spans="1:7" ht="15.75" x14ac:dyDescent="0.3">
      <c r="A988" s="148" t="s">
        <v>71</v>
      </c>
      <c r="B988" s="149">
        <v>1005480</v>
      </c>
      <c r="C988" s="148" t="s">
        <v>1255</v>
      </c>
      <c r="D988" s="150">
        <v>2.56</v>
      </c>
      <c r="E988" s="151" t="s">
        <v>7</v>
      </c>
      <c r="F988" s="152">
        <v>8.4</v>
      </c>
      <c r="G988" s="152">
        <v>268.8</v>
      </c>
    </row>
    <row r="989" spans="1:7" ht="15.75" x14ac:dyDescent="0.3">
      <c r="A989" s="148" t="s">
        <v>71</v>
      </c>
      <c r="B989" s="149">
        <v>1005479</v>
      </c>
      <c r="C989" s="148" t="s">
        <v>1256</v>
      </c>
      <c r="D989" s="150">
        <v>1.0900000000000001</v>
      </c>
      <c r="E989" s="151" t="s">
        <v>7</v>
      </c>
      <c r="F989" s="152">
        <v>22.4</v>
      </c>
      <c r="G989" s="152">
        <v>716.8</v>
      </c>
    </row>
    <row r="990" spans="1:7" ht="15.75" x14ac:dyDescent="0.3">
      <c r="A990" s="148" t="s">
        <v>72</v>
      </c>
      <c r="B990" s="149">
        <v>1016699</v>
      </c>
      <c r="C990" s="148" t="s">
        <v>1257</v>
      </c>
      <c r="D990" s="150">
        <v>26.55</v>
      </c>
      <c r="E990" s="151" t="s">
        <v>8</v>
      </c>
      <c r="F990" s="152">
        <v>10</v>
      </c>
      <c r="G990" s="152">
        <v>60</v>
      </c>
    </row>
    <row r="991" spans="1:7" ht="15.75" x14ac:dyDescent="0.3">
      <c r="A991" s="148" t="s">
        <v>72</v>
      </c>
      <c r="B991" s="149">
        <v>1016700</v>
      </c>
      <c r="C991" s="148" t="s">
        <v>1258</v>
      </c>
      <c r="D991" s="150">
        <v>22.27</v>
      </c>
      <c r="E991" s="151" t="s">
        <v>8</v>
      </c>
      <c r="F991" s="152">
        <v>10</v>
      </c>
      <c r="G991" s="152">
        <v>100</v>
      </c>
    </row>
    <row r="992" spans="1:7" ht="15.75" x14ac:dyDescent="0.3">
      <c r="A992" s="148" t="s">
        <v>72</v>
      </c>
      <c r="B992" s="149">
        <v>1016703</v>
      </c>
      <c r="C992" s="148" t="s">
        <v>1259</v>
      </c>
      <c r="D992" s="150">
        <v>13.46</v>
      </c>
      <c r="E992" s="151" t="s">
        <v>8</v>
      </c>
      <c r="F992" s="152">
        <v>10</v>
      </c>
      <c r="G992" s="152">
        <v>140</v>
      </c>
    </row>
    <row r="993" spans="1:7" ht="15.75" x14ac:dyDescent="0.3">
      <c r="A993" s="148" t="s">
        <v>72</v>
      </c>
      <c r="B993" s="149">
        <v>1061880</v>
      </c>
      <c r="C993" s="148" t="s">
        <v>1260</v>
      </c>
      <c r="D993" s="150">
        <v>13.05</v>
      </c>
      <c r="E993" s="151" t="s">
        <v>8</v>
      </c>
      <c r="F993" s="152">
        <v>200</v>
      </c>
      <c r="G993" s="149"/>
    </row>
    <row r="994" spans="1:7" ht="15.75" x14ac:dyDescent="0.3">
      <c r="A994" s="148" t="s">
        <v>73</v>
      </c>
      <c r="B994" s="149">
        <v>1086854</v>
      </c>
      <c r="C994" s="148" t="s">
        <v>1261</v>
      </c>
      <c r="D994" s="150">
        <v>24.29</v>
      </c>
      <c r="E994" s="151" t="s">
        <v>8</v>
      </c>
      <c r="F994" s="152">
        <v>24</v>
      </c>
      <c r="G994" s="152">
        <v>360</v>
      </c>
    </row>
    <row r="995" spans="1:7" ht="15.75" x14ac:dyDescent="0.3">
      <c r="A995" s="148" t="s">
        <v>73</v>
      </c>
      <c r="B995" s="149">
        <v>1087302</v>
      </c>
      <c r="C995" s="148" t="s">
        <v>1262</v>
      </c>
      <c r="D995" s="150">
        <v>2.67</v>
      </c>
      <c r="E995" s="151" t="s">
        <v>7</v>
      </c>
      <c r="F995" s="152">
        <v>240</v>
      </c>
      <c r="G995" s="152">
        <v>1200</v>
      </c>
    </row>
    <row r="996" spans="1:7" ht="15.75" x14ac:dyDescent="0.3">
      <c r="A996" s="148" t="s">
        <v>73</v>
      </c>
      <c r="B996" s="149">
        <v>1087303</v>
      </c>
      <c r="C996" s="148" t="s">
        <v>1263</v>
      </c>
      <c r="D996" s="150">
        <v>2.67</v>
      </c>
      <c r="E996" s="151" t="s">
        <v>7</v>
      </c>
      <c r="F996" s="152">
        <v>640</v>
      </c>
      <c r="G996" s="152">
        <v>1280</v>
      </c>
    </row>
    <row r="997" spans="1:7" ht="15.75" x14ac:dyDescent="0.3">
      <c r="A997" s="148" t="s">
        <v>74</v>
      </c>
      <c r="B997" s="149">
        <v>1090917</v>
      </c>
      <c r="C997" s="148" t="s">
        <v>1264</v>
      </c>
      <c r="D997" s="150">
        <v>11.43</v>
      </c>
      <c r="E997" s="151" t="s">
        <v>8</v>
      </c>
      <c r="F997" s="152">
        <v>10</v>
      </c>
      <c r="G997" s="152">
        <v>100</v>
      </c>
    </row>
    <row r="998" spans="1:7" ht="15.75" x14ac:dyDescent="0.3">
      <c r="A998" s="148" t="s">
        <v>74</v>
      </c>
      <c r="B998" s="149">
        <v>1090918</v>
      </c>
      <c r="C998" s="148" t="s">
        <v>1265</v>
      </c>
      <c r="D998" s="150">
        <v>14.1</v>
      </c>
      <c r="E998" s="151" t="s">
        <v>8</v>
      </c>
      <c r="F998" s="152">
        <v>10</v>
      </c>
      <c r="G998" s="152">
        <v>80</v>
      </c>
    </row>
    <row r="999" spans="1:7" ht="15.75" x14ac:dyDescent="0.3">
      <c r="A999" s="148" t="s">
        <v>74</v>
      </c>
      <c r="B999" s="149">
        <v>1090924</v>
      </c>
      <c r="C999" s="148" t="s">
        <v>1266</v>
      </c>
      <c r="D999" s="150">
        <v>11.74</v>
      </c>
      <c r="E999" s="151" t="s">
        <v>8</v>
      </c>
      <c r="F999" s="152">
        <v>10</v>
      </c>
      <c r="G999" s="152">
        <v>80</v>
      </c>
    </row>
    <row r="1000" spans="1:7" ht="15.75" x14ac:dyDescent="0.3">
      <c r="A1000" s="148" t="s">
        <v>74</v>
      </c>
      <c r="B1000" s="149">
        <v>1090925</v>
      </c>
      <c r="C1000" s="148" t="s">
        <v>1267</v>
      </c>
      <c r="D1000" s="150">
        <v>11.92</v>
      </c>
      <c r="E1000" s="151" t="s">
        <v>8</v>
      </c>
      <c r="F1000" s="152">
        <v>10</v>
      </c>
      <c r="G1000" s="152">
        <v>80</v>
      </c>
    </row>
    <row r="1001" spans="1:7" ht="15.75" x14ac:dyDescent="0.3">
      <c r="A1001" s="148" t="s">
        <v>74</v>
      </c>
      <c r="B1001" s="149">
        <v>1090926</v>
      </c>
      <c r="C1001" s="148" t="s">
        <v>1268</v>
      </c>
      <c r="D1001" s="150">
        <v>12.26</v>
      </c>
      <c r="E1001" s="151" t="s">
        <v>8</v>
      </c>
      <c r="F1001" s="152">
        <v>10</v>
      </c>
      <c r="G1001" s="152">
        <v>70</v>
      </c>
    </row>
    <row r="1002" spans="1:7" ht="15.75" x14ac:dyDescent="0.3">
      <c r="A1002" s="148" t="s">
        <v>74</v>
      </c>
      <c r="B1002" s="149">
        <v>1090927</v>
      </c>
      <c r="C1002" s="148" t="s">
        <v>1269</v>
      </c>
      <c r="D1002" s="150">
        <v>13.6</v>
      </c>
      <c r="E1002" s="151" t="s">
        <v>8</v>
      </c>
      <c r="F1002" s="152">
        <v>10</v>
      </c>
      <c r="G1002" s="152">
        <v>60</v>
      </c>
    </row>
    <row r="1003" spans="1:7" ht="15.75" x14ac:dyDescent="0.3">
      <c r="A1003" s="148" t="s">
        <v>74</v>
      </c>
      <c r="B1003" s="149">
        <v>1122372</v>
      </c>
      <c r="C1003" s="148" t="s">
        <v>1270</v>
      </c>
      <c r="D1003" s="150">
        <v>4.91</v>
      </c>
      <c r="E1003" s="151" t="s">
        <v>8</v>
      </c>
      <c r="F1003" s="152">
        <v>103</v>
      </c>
      <c r="G1003" s="152">
        <v>2884</v>
      </c>
    </row>
    <row r="1004" spans="1:7" ht="15.75" x14ac:dyDescent="0.3">
      <c r="A1004" s="148" t="s">
        <v>74</v>
      </c>
      <c r="B1004" s="149">
        <v>1086533</v>
      </c>
      <c r="C1004" s="148" t="s">
        <v>1271</v>
      </c>
      <c r="D1004" s="150">
        <v>0.08</v>
      </c>
      <c r="E1004" s="151" t="s">
        <v>9</v>
      </c>
      <c r="F1004" s="152">
        <v>500</v>
      </c>
      <c r="G1004" s="152">
        <v>5000</v>
      </c>
    </row>
    <row r="1005" spans="1:7" ht="15.75" x14ac:dyDescent="0.3">
      <c r="A1005" s="148" t="s">
        <v>74</v>
      </c>
      <c r="B1005" s="149">
        <v>1135487</v>
      </c>
      <c r="C1005" s="148" t="s">
        <v>1272</v>
      </c>
      <c r="D1005" s="150">
        <v>0.04</v>
      </c>
      <c r="E1005" s="151" t="s">
        <v>9</v>
      </c>
      <c r="F1005" s="152">
        <v>300</v>
      </c>
      <c r="G1005" s="152">
        <v>8400</v>
      </c>
    </row>
    <row r="1006" spans="1:7" ht="15.75" x14ac:dyDescent="0.3">
      <c r="A1006" s="148" t="s">
        <v>74</v>
      </c>
      <c r="B1006" s="149">
        <v>1086529</v>
      </c>
      <c r="C1006" s="148" t="s">
        <v>1273</v>
      </c>
      <c r="D1006" s="150">
        <v>0.04</v>
      </c>
      <c r="E1006" s="151" t="s">
        <v>9</v>
      </c>
      <c r="F1006" s="152">
        <v>1000</v>
      </c>
      <c r="G1006" s="152">
        <v>8000</v>
      </c>
    </row>
    <row r="1007" spans="1:7" ht="15.75" x14ac:dyDescent="0.3">
      <c r="A1007" s="148" t="s">
        <v>74</v>
      </c>
      <c r="B1007" s="149">
        <v>1135489</v>
      </c>
      <c r="C1007" s="148" t="s">
        <v>1274</v>
      </c>
      <c r="D1007" s="150">
        <v>0.04</v>
      </c>
      <c r="E1007" s="151" t="s">
        <v>9</v>
      </c>
      <c r="F1007" s="152">
        <v>250</v>
      </c>
      <c r="G1007" s="152">
        <v>5000</v>
      </c>
    </row>
    <row r="1008" spans="1:7" ht="15.75" x14ac:dyDescent="0.3">
      <c r="A1008" s="148" t="s">
        <v>74</v>
      </c>
      <c r="B1008" s="149">
        <v>1086530</v>
      </c>
      <c r="C1008" s="148" t="s">
        <v>1275</v>
      </c>
      <c r="D1008" s="150">
        <v>0.13</v>
      </c>
      <c r="E1008" s="151" t="s">
        <v>9</v>
      </c>
      <c r="F1008" s="152">
        <v>300</v>
      </c>
      <c r="G1008" s="152">
        <v>4800</v>
      </c>
    </row>
    <row r="1009" spans="1:7" ht="15.75" x14ac:dyDescent="0.3">
      <c r="A1009" s="148" t="s">
        <v>341</v>
      </c>
      <c r="B1009" s="149">
        <v>1000018</v>
      </c>
      <c r="C1009" s="148" t="s">
        <v>1276</v>
      </c>
      <c r="D1009" s="150">
        <v>5.0999999999999996</v>
      </c>
      <c r="E1009" s="151" t="s">
        <v>7</v>
      </c>
      <c r="F1009" s="152">
        <v>100</v>
      </c>
      <c r="G1009" s="152">
        <v>600</v>
      </c>
    </row>
    <row r="1010" spans="1:7" ht="15.75" x14ac:dyDescent="0.3">
      <c r="A1010" s="148" t="s">
        <v>341</v>
      </c>
      <c r="B1010" s="149">
        <v>1135547</v>
      </c>
      <c r="C1010" s="148" t="s">
        <v>1277</v>
      </c>
      <c r="D1010" s="150">
        <v>3.16</v>
      </c>
      <c r="E1010" s="151" t="s">
        <v>9</v>
      </c>
      <c r="F1010" s="152">
        <v>100</v>
      </c>
      <c r="G1010" s="152">
        <v>1000</v>
      </c>
    </row>
    <row r="1011" spans="1:7" ht="15.75" x14ac:dyDescent="0.3">
      <c r="A1011" s="148" t="s">
        <v>341</v>
      </c>
      <c r="B1011" s="149">
        <v>1005274</v>
      </c>
      <c r="C1011" s="148" t="s">
        <v>1278</v>
      </c>
      <c r="D1011" s="150">
        <v>4.42</v>
      </c>
      <c r="E1011" s="151" t="s">
        <v>7</v>
      </c>
      <c r="F1011" s="152">
        <v>2.5</v>
      </c>
      <c r="G1011" s="152">
        <v>25</v>
      </c>
    </row>
    <row r="1012" spans="1:7" ht="15.75" x14ac:dyDescent="0.3">
      <c r="A1012" s="148" t="s">
        <v>341</v>
      </c>
      <c r="B1012" s="149">
        <v>1135496</v>
      </c>
      <c r="C1012" s="148" t="s">
        <v>1279</v>
      </c>
      <c r="D1012" s="150">
        <v>3</v>
      </c>
      <c r="E1012" s="151" t="s">
        <v>9</v>
      </c>
      <c r="F1012" s="152">
        <v>100</v>
      </c>
      <c r="G1012" s="152">
        <v>2000</v>
      </c>
    </row>
    <row r="1013" spans="1:7" ht="15.75" x14ac:dyDescent="0.3">
      <c r="A1013" s="148" t="s">
        <v>341</v>
      </c>
      <c r="B1013" s="149">
        <v>1135498</v>
      </c>
      <c r="C1013" s="148" t="s">
        <v>1280</v>
      </c>
      <c r="D1013" s="150">
        <v>0.08</v>
      </c>
      <c r="E1013" s="151" t="s">
        <v>9</v>
      </c>
      <c r="F1013" s="152">
        <v>200</v>
      </c>
      <c r="G1013" s="152">
        <v>3600</v>
      </c>
    </row>
    <row r="1014" spans="1:7" ht="15.75" x14ac:dyDescent="0.3">
      <c r="A1014" s="148" t="s">
        <v>75</v>
      </c>
      <c r="B1014" s="149">
        <v>1009222</v>
      </c>
      <c r="C1014" s="148" t="s">
        <v>1281</v>
      </c>
      <c r="D1014" s="150">
        <v>10.220000000000001</v>
      </c>
      <c r="E1014" s="151" t="s">
        <v>9</v>
      </c>
      <c r="F1014" s="152">
        <v>1</v>
      </c>
      <c r="G1014" s="152">
        <v>250</v>
      </c>
    </row>
    <row r="1015" spans="1:7" ht="15.75" x14ac:dyDescent="0.3">
      <c r="A1015" s="148" t="s">
        <v>79</v>
      </c>
      <c r="B1015" s="149">
        <v>1005485</v>
      </c>
      <c r="C1015" s="148" t="s">
        <v>1282</v>
      </c>
      <c r="D1015" s="150">
        <v>16.5</v>
      </c>
      <c r="E1015" s="151" t="s">
        <v>8</v>
      </c>
      <c r="F1015" s="152">
        <v>12.5</v>
      </c>
      <c r="G1015" s="152">
        <v>100</v>
      </c>
    </row>
    <row r="1016" spans="1:7" ht="15.75" x14ac:dyDescent="0.3">
      <c r="A1016" s="148" t="s">
        <v>79</v>
      </c>
      <c r="B1016" s="149">
        <v>1005486</v>
      </c>
      <c r="C1016" s="148" t="s">
        <v>1283</v>
      </c>
      <c r="D1016" s="150">
        <v>5.93</v>
      </c>
      <c r="E1016" s="151" t="s">
        <v>9</v>
      </c>
      <c r="F1016" s="152">
        <v>48</v>
      </c>
      <c r="G1016" s="152">
        <v>768</v>
      </c>
    </row>
    <row r="1017" spans="1:7" ht="15.75" x14ac:dyDescent="0.3">
      <c r="A1017" s="148" t="s">
        <v>80</v>
      </c>
      <c r="B1017" s="149">
        <v>1034347</v>
      </c>
      <c r="C1017" s="148" t="s">
        <v>1284</v>
      </c>
      <c r="D1017" s="150">
        <v>36.79</v>
      </c>
      <c r="E1017" s="151" t="s">
        <v>9</v>
      </c>
      <c r="F1017" s="152">
        <v>5</v>
      </c>
      <c r="G1017" s="152">
        <v>25</v>
      </c>
    </row>
    <row r="1018" spans="1:7" ht="15.75" x14ac:dyDescent="0.3">
      <c r="A1018" s="148" t="s">
        <v>17</v>
      </c>
      <c r="B1018" s="149">
        <v>1061171</v>
      </c>
      <c r="C1018" s="148" t="s">
        <v>1285</v>
      </c>
      <c r="D1018" s="150">
        <v>212.69</v>
      </c>
      <c r="E1018" s="151" t="s">
        <v>9</v>
      </c>
      <c r="F1018" s="152">
        <v>24</v>
      </c>
      <c r="G1018" s="149"/>
    </row>
    <row r="1019" spans="1:7" ht="15.75" x14ac:dyDescent="0.3">
      <c r="A1019" s="148" t="s">
        <v>17</v>
      </c>
      <c r="B1019" s="149">
        <v>1061172</v>
      </c>
      <c r="C1019" s="148" t="s">
        <v>1286</v>
      </c>
      <c r="D1019" s="150">
        <v>127.63</v>
      </c>
      <c r="E1019" s="151" t="s">
        <v>9</v>
      </c>
      <c r="F1019" s="152">
        <v>24</v>
      </c>
      <c r="G1019" s="149"/>
    </row>
    <row r="1020" spans="1:7" ht="15.75" x14ac:dyDescent="0.3">
      <c r="A1020" s="148" t="s">
        <v>17</v>
      </c>
      <c r="B1020" s="149">
        <v>1061173</v>
      </c>
      <c r="C1020" s="148" t="s">
        <v>1287</v>
      </c>
      <c r="D1020" s="150">
        <v>85.08</v>
      </c>
      <c r="E1020" s="151" t="s">
        <v>9</v>
      </c>
      <c r="F1020" s="152">
        <v>24</v>
      </c>
      <c r="G1020" s="149"/>
    </row>
    <row r="1021" spans="1:7" ht="15.75" x14ac:dyDescent="0.3">
      <c r="A1021" s="148" t="s">
        <v>17</v>
      </c>
      <c r="B1021" s="149">
        <v>1063926</v>
      </c>
      <c r="C1021" s="148" t="s">
        <v>1288</v>
      </c>
      <c r="D1021" s="150">
        <v>46.62</v>
      </c>
      <c r="E1021" s="151" t="s">
        <v>9</v>
      </c>
      <c r="F1021" s="152">
        <v>24</v>
      </c>
      <c r="G1021" s="149"/>
    </row>
    <row r="1022" spans="1:7" ht="15.75" x14ac:dyDescent="0.3">
      <c r="A1022" s="148" t="s">
        <v>81</v>
      </c>
      <c r="B1022" s="149">
        <v>1005291</v>
      </c>
      <c r="C1022" s="148" t="s">
        <v>1289</v>
      </c>
      <c r="D1022" s="150">
        <v>0.19</v>
      </c>
      <c r="E1022" s="151" t="s">
        <v>9</v>
      </c>
      <c r="F1022" s="152">
        <v>500</v>
      </c>
      <c r="G1022" s="152">
        <v>5000</v>
      </c>
    </row>
    <row r="1023" spans="1:7" ht="15.75" x14ac:dyDescent="0.3">
      <c r="A1023" s="148" t="s">
        <v>81</v>
      </c>
      <c r="B1023" s="149">
        <v>1020182</v>
      </c>
      <c r="C1023" s="148" t="s">
        <v>1290</v>
      </c>
      <c r="D1023" s="150">
        <v>2.2200000000000002</v>
      </c>
      <c r="E1023" s="151" t="s">
        <v>7</v>
      </c>
      <c r="F1023" s="152">
        <v>50</v>
      </c>
      <c r="G1023" s="149"/>
    </row>
    <row r="1024" spans="1:7" ht="15.75" x14ac:dyDescent="0.3">
      <c r="A1024" s="148" t="s">
        <v>81</v>
      </c>
      <c r="B1024" s="149">
        <v>1030631</v>
      </c>
      <c r="C1024" s="148" t="s">
        <v>1291</v>
      </c>
      <c r="D1024" s="150">
        <v>2</v>
      </c>
      <c r="E1024" s="151" t="s">
        <v>7</v>
      </c>
      <c r="F1024" s="152">
        <v>25</v>
      </c>
      <c r="G1024" s="152">
        <v>1250</v>
      </c>
    </row>
    <row r="1025" spans="1:7" ht="15.75" x14ac:dyDescent="0.3">
      <c r="A1025" s="148" t="s">
        <v>81</v>
      </c>
      <c r="B1025" s="149">
        <v>1045815</v>
      </c>
      <c r="C1025" s="148" t="s">
        <v>1292</v>
      </c>
      <c r="D1025" s="150">
        <v>328.65</v>
      </c>
      <c r="E1025" s="151" t="s">
        <v>9</v>
      </c>
      <c r="F1025" s="152">
        <v>1</v>
      </c>
      <c r="G1025" s="152">
        <v>1</v>
      </c>
    </row>
    <row r="1026" spans="1:7" ht="15.75" x14ac:dyDescent="0.3">
      <c r="A1026" s="148" t="s">
        <v>81</v>
      </c>
      <c r="B1026" s="149">
        <v>1121532</v>
      </c>
      <c r="C1026" s="148" t="s">
        <v>1293</v>
      </c>
      <c r="D1026" s="150">
        <v>114.72</v>
      </c>
      <c r="E1026" s="151" t="s">
        <v>9</v>
      </c>
      <c r="F1026" s="152">
        <v>1</v>
      </c>
      <c r="G1026" s="152">
        <v>10</v>
      </c>
    </row>
    <row r="1027" spans="1:7" ht="15.75" x14ac:dyDescent="0.3">
      <c r="A1027" s="148" t="s">
        <v>81</v>
      </c>
      <c r="B1027" s="149">
        <v>1121533</v>
      </c>
      <c r="C1027" s="148" t="s">
        <v>1294</v>
      </c>
      <c r="D1027" s="150">
        <v>198.68</v>
      </c>
      <c r="E1027" s="151" t="s">
        <v>9</v>
      </c>
      <c r="F1027" s="152">
        <v>1</v>
      </c>
      <c r="G1027" s="152">
        <v>90</v>
      </c>
    </row>
    <row r="1028" spans="1:7" ht="15.75" x14ac:dyDescent="0.3">
      <c r="A1028" s="148" t="s">
        <v>81</v>
      </c>
      <c r="B1028" s="149">
        <v>1121534</v>
      </c>
      <c r="C1028" s="148" t="s">
        <v>1295</v>
      </c>
      <c r="D1028" s="150">
        <v>279.98</v>
      </c>
      <c r="E1028" s="151" t="s">
        <v>9</v>
      </c>
      <c r="F1028" s="152">
        <v>1</v>
      </c>
      <c r="G1028" s="152">
        <v>60</v>
      </c>
    </row>
    <row r="1029" spans="1:7" ht="15.75" x14ac:dyDescent="0.3">
      <c r="A1029" s="148" t="s">
        <v>81</v>
      </c>
      <c r="B1029" s="149">
        <v>1121535</v>
      </c>
      <c r="C1029" s="148" t="s">
        <v>1296</v>
      </c>
      <c r="D1029" s="150">
        <v>118.7</v>
      </c>
      <c r="E1029" s="151" t="s">
        <v>9</v>
      </c>
      <c r="F1029" s="152">
        <v>1</v>
      </c>
      <c r="G1029" s="152">
        <v>10</v>
      </c>
    </row>
    <row r="1030" spans="1:7" ht="15.75" x14ac:dyDescent="0.3">
      <c r="A1030" s="148" t="s">
        <v>81</v>
      </c>
      <c r="B1030" s="149">
        <v>1121536</v>
      </c>
      <c r="C1030" s="148" t="s">
        <v>1297</v>
      </c>
      <c r="D1030" s="150">
        <v>225.58</v>
      </c>
      <c r="E1030" s="151" t="s">
        <v>9</v>
      </c>
      <c r="F1030" s="152">
        <v>1</v>
      </c>
      <c r="G1030" s="152">
        <v>90</v>
      </c>
    </row>
    <row r="1031" spans="1:7" ht="15.75" x14ac:dyDescent="0.3">
      <c r="A1031" s="148" t="s">
        <v>81</v>
      </c>
      <c r="B1031" s="149">
        <v>1121537</v>
      </c>
      <c r="C1031" s="148" t="s">
        <v>1298</v>
      </c>
      <c r="D1031" s="150">
        <v>334.87</v>
      </c>
      <c r="E1031" s="151" t="s">
        <v>9</v>
      </c>
      <c r="F1031" s="152">
        <v>1</v>
      </c>
      <c r="G1031" s="152">
        <v>60</v>
      </c>
    </row>
    <row r="1032" spans="1:7" ht="15.75" x14ac:dyDescent="0.3">
      <c r="A1032" s="148" t="s">
        <v>81</v>
      </c>
      <c r="B1032" s="149">
        <v>1030135</v>
      </c>
      <c r="C1032" s="148" t="s">
        <v>1299</v>
      </c>
      <c r="D1032" s="150">
        <v>170.79</v>
      </c>
      <c r="E1032" s="151" t="s">
        <v>9</v>
      </c>
      <c r="F1032" s="152">
        <v>1</v>
      </c>
      <c r="G1032" s="152">
        <v>1</v>
      </c>
    </row>
    <row r="1033" spans="1:7" ht="15.75" x14ac:dyDescent="0.3">
      <c r="A1033" s="148" t="s">
        <v>81</v>
      </c>
      <c r="B1033" s="149">
        <v>1045816</v>
      </c>
      <c r="C1033" s="148" t="s">
        <v>1300</v>
      </c>
      <c r="D1033" s="150">
        <v>35</v>
      </c>
      <c r="E1033" s="151" t="s">
        <v>9</v>
      </c>
      <c r="F1033" s="152">
        <v>1</v>
      </c>
      <c r="G1033" s="152">
        <v>1</v>
      </c>
    </row>
    <row r="1034" spans="1:7" ht="15.75" x14ac:dyDescent="0.3">
      <c r="A1034" s="148" t="s">
        <v>81</v>
      </c>
      <c r="B1034" s="149">
        <v>1030134</v>
      </c>
      <c r="C1034" s="148" t="s">
        <v>1301</v>
      </c>
      <c r="D1034" s="150">
        <v>33.06</v>
      </c>
      <c r="E1034" s="151" t="s">
        <v>9</v>
      </c>
      <c r="F1034" s="152">
        <v>1</v>
      </c>
      <c r="G1034" s="152">
        <v>20</v>
      </c>
    </row>
    <row r="1035" spans="1:7" ht="15.75" x14ac:dyDescent="0.3">
      <c r="A1035" s="148" t="s">
        <v>342</v>
      </c>
      <c r="B1035" s="149">
        <v>1087526</v>
      </c>
      <c r="C1035" s="148" t="s">
        <v>1302</v>
      </c>
      <c r="D1035" s="150">
        <v>4.37</v>
      </c>
      <c r="E1035" s="151" t="s">
        <v>7</v>
      </c>
      <c r="F1035" s="152">
        <v>640</v>
      </c>
      <c r="G1035" s="152">
        <v>1</v>
      </c>
    </row>
    <row r="1036" spans="1:7" ht="15.75" x14ac:dyDescent="0.3">
      <c r="A1036" s="148" t="s">
        <v>342</v>
      </c>
      <c r="B1036" s="149">
        <v>1033672</v>
      </c>
      <c r="C1036" s="148" t="s">
        <v>1303</v>
      </c>
      <c r="D1036" s="150">
        <v>33.6</v>
      </c>
      <c r="E1036" s="151" t="s">
        <v>9</v>
      </c>
      <c r="F1036" s="152">
        <v>1</v>
      </c>
      <c r="G1036" s="149"/>
    </row>
    <row r="1037" spans="1:7" ht="15.75" x14ac:dyDescent="0.3">
      <c r="A1037" s="148" t="s">
        <v>342</v>
      </c>
      <c r="B1037" s="149">
        <v>1033631</v>
      </c>
      <c r="C1037" s="148" t="s">
        <v>1304</v>
      </c>
      <c r="D1037" s="150">
        <v>932.12</v>
      </c>
      <c r="E1037" s="151" t="s">
        <v>9</v>
      </c>
      <c r="F1037" s="152">
        <v>1</v>
      </c>
      <c r="G1037" s="149"/>
    </row>
    <row r="1038" spans="1:7" ht="15.75" x14ac:dyDescent="0.3">
      <c r="A1038" s="148" t="s">
        <v>342</v>
      </c>
      <c r="B1038" s="149">
        <v>1033632</v>
      </c>
      <c r="C1038" s="148" t="s">
        <v>1305</v>
      </c>
      <c r="D1038" s="150">
        <v>1000.9</v>
      </c>
      <c r="E1038" s="151" t="s">
        <v>9</v>
      </c>
      <c r="F1038" s="152">
        <v>1</v>
      </c>
      <c r="G1038" s="149"/>
    </row>
    <row r="1039" spans="1:7" ht="15.75" x14ac:dyDescent="0.3">
      <c r="A1039" s="148" t="s">
        <v>342</v>
      </c>
      <c r="B1039" s="149">
        <v>1033633</v>
      </c>
      <c r="C1039" s="148" t="s">
        <v>1306</v>
      </c>
      <c r="D1039" s="150">
        <v>1010.49</v>
      </c>
      <c r="E1039" s="151" t="s">
        <v>9</v>
      </c>
      <c r="F1039" s="152">
        <v>1</v>
      </c>
      <c r="G1039" s="149"/>
    </row>
    <row r="1040" spans="1:7" ht="15.75" x14ac:dyDescent="0.3">
      <c r="A1040" s="148" t="s">
        <v>343</v>
      </c>
      <c r="B1040" s="149">
        <v>1090933</v>
      </c>
      <c r="C1040" s="148" t="s">
        <v>1307</v>
      </c>
      <c r="D1040" s="150">
        <v>72.010000000000005</v>
      </c>
      <c r="E1040" s="151" t="s">
        <v>9</v>
      </c>
      <c r="F1040" s="152">
        <v>10</v>
      </c>
      <c r="G1040" s="152">
        <v>200</v>
      </c>
    </row>
    <row r="1041" spans="1:7" ht="15.75" x14ac:dyDescent="0.3">
      <c r="A1041" s="148" t="s">
        <v>343</v>
      </c>
      <c r="B1041" s="149">
        <v>1090934</v>
      </c>
      <c r="C1041" s="148" t="s">
        <v>1308</v>
      </c>
      <c r="D1041" s="150">
        <v>101.91</v>
      </c>
      <c r="E1041" s="151" t="s">
        <v>9</v>
      </c>
      <c r="F1041" s="152">
        <v>10</v>
      </c>
      <c r="G1041" s="152">
        <v>200</v>
      </c>
    </row>
    <row r="1042" spans="1:7" ht="15.75" x14ac:dyDescent="0.3">
      <c r="A1042" s="148" t="s">
        <v>343</v>
      </c>
      <c r="B1042" s="149">
        <v>1090935</v>
      </c>
      <c r="C1042" s="148" t="s">
        <v>1309</v>
      </c>
      <c r="D1042" s="150">
        <v>131.93</v>
      </c>
      <c r="E1042" s="151" t="s">
        <v>9</v>
      </c>
      <c r="F1042" s="152">
        <v>10</v>
      </c>
      <c r="G1042" s="152">
        <v>200</v>
      </c>
    </row>
    <row r="1043" spans="1:7" ht="15.75" x14ac:dyDescent="0.3">
      <c r="A1043" s="148" t="s">
        <v>343</v>
      </c>
      <c r="B1043" s="149">
        <v>1090936</v>
      </c>
      <c r="C1043" s="148" t="s">
        <v>1310</v>
      </c>
      <c r="D1043" s="150">
        <v>161.84</v>
      </c>
      <c r="E1043" s="151" t="s">
        <v>9</v>
      </c>
      <c r="F1043" s="152">
        <v>10</v>
      </c>
      <c r="G1043" s="152">
        <v>200</v>
      </c>
    </row>
    <row r="1044" spans="1:7" ht="15.75" x14ac:dyDescent="0.3">
      <c r="A1044" s="148" t="s">
        <v>343</v>
      </c>
      <c r="B1044" s="149">
        <v>1090937</v>
      </c>
      <c r="C1044" s="148" t="s">
        <v>1311</v>
      </c>
      <c r="D1044" s="150">
        <v>191.77</v>
      </c>
      <c r="E1044" s="151" t="s">
        <v>9</v>
      </c>
      <c r="F1044" s="152">
        <v>10</v>
      </c>
      <c r="G1044" s="152">
        <v>200</v>
      </c>
    </row>
    <row r="1045" spans="1:7" ht="15.75" x14ac:dyDescent="0.3">
      <c r="A1045" s="148" t="s">
        <v>343</v>
      </c>
      <c r="B1045" s="149">
        <v>1120851</v>
      </c>
      <c r="C1045" s="148" t="s">
        <v>1312</v>
      </c>
      <c r="D1045" s="150">
        <v>113.57</v>
      </c>
      <c r="E1045" s="151" t="s">
        <v>9</v>
      </c>
      <c r="F1045" s="152">
        <v>2</v>
      </c>
      <c r="G1045" s="152">
        <v>32</v>
      </c>
    </row>
    <row r="1046" spans="1:7" ht="15.75" x14ac:dyDescent="0.3">
      <c r="A1046" s="148" t="s">
        <v>343</v>
      </c>
      <c r="B1046" s="149">
        <v>1120852</v>
      </c>
      <c r="C1046" s="148" t="s">
        <v>1313</v>
      </c>
      <c r="D1046" s="150">
        <v>126.68</v>
      </c>
      <c r="E1046" s="151" t="s">
        <v>9</v>
      </c>
      <c r="F1046" s="152">
        <v>2</v>
      </c>
      <c r="G1046" s="152">
        <v>32</v>
      </c>
    </row>
    <row r="1047" spans="1:7" ht="15.75" x14ac:dyDescent="0.3">
      <c r="A1047" s="148" t="s">
        <v>343</v>
      </c>
      <c r="B1047" s="149">
        <v>1120853</v>
      </c>
      <c r="C1047" s="148" t="s">
        <v>1314</v>
      </c>
      <c r="D1047" s="150">
        <v>140.24</v>
      </c>
      <c r="E1047" s="151" t="s">
        <v>9</v>
      </c>
      <c r="F1047" s="152">
        <v>2</v>
      </c>
      <c r="G1047" s="152">
        <v>32</v>
      </c>
    </row>
    <row r="1048" spans="1:7" ht="15.75" x14ac:dyDescent="0.3">
      <c r="A1048" s="148" t="s">
        <v>343</v>
      </c>
      <c r="B1048" s="149">
        <v>1120854</v>
      </c>
      <c r="C1048" s="148" t="s">
        <v>1315</v>
      </c>
      <c r="D1048" s="150">
        <v>155.11000000000001</v>
      </c>
      <c r="E1048" s="151" t="s">
        <v>9</v>
      </c>
      <c r="F1048" s="152">
        <v>2</v>
      </c>
      <c r="G1048" s="152">
        <v>32</v>
      </c>
    </row>
    <row r="1049" spans="1:7" ht="15.75" x14ac:dyDescent="0.3">
      <c r="A1049" s="148" t="s">
        <v>343</v>
      </c>
      <c r="B1049" s="149">
        <v>1120855</v>
      </c>
      <c r="C1049" s="148" t="s">
        <v>1316</v>
      </c>
      <c r="D1049" s="150">
        <v>169.58</v>
      </c>
      <c r="E1049" s="151" t="s">
        <v>9</v>
      </c>
      <c r="F1049" s="152">
        <v>2</v>
      </c>
      <c r="G1049" s="152">
        <v>32</v>
      </c>
    </row>
    <row r="1050" spans="1:7" ht="15.75" x14ac:dyDescent="0.3">
      <c r="A1050" s="148" t="s">
        <v>343</v>
      </c>
      <c r="B1050" s="149">
        <v>1120856</v>
      </c>
      <c r="C1050" s="148" t="s">
        <v>1317</v>
      </c>
      <c r="D1050" s="150">
        <v>184.5</v>
      </c>
      <c r="E1050" s="151" t="s">
        <v>9</v>
      </c>
      <c r="F1050" s="152">
        <v>2</v>
      </c>
      <c r="G1050" s="152">
        <v>32</v>
      </c>
    </row>
    <row r="1051" spans="1:7" ht="15.75" x14ac:dyDescent="0.3">
      <c r="A1051" s="148" t="s">
        <v>82</v>
      </c>
      <c r="B1051" s="149">
        <v>1005372</v>
      </c>
      <c r="C1051" s="148" t="s">
        <v>1318</v>
      </c>
      <c r="D1051" s="150">
        <v>0.16</v>
      </c>
      <c r="E1051" s="151" t="s">
        <v>9</v>
      </c>
      <c r="F1051" s="152">
        <v>100</v>
      </c>
      <c r="G1051" s="152">
        <v>6000</v>
      </c>
    </row>
    <row r="1052" spans="1:7" ht="15.75" x14ac:dyDescent="0.3">
      <c r="A1052" s="148" t="s">
        <v>82</v>
      </c>
      <c r="B1052" s="149">
        <v>1086531</v>
      </c>
      <c r="C1052" s="148" t="s">
        <v>1319</v>
      </c>
      <c r="D1052" s="150">
        <v>0.05</v>
      </c>
      <c r="E1052" s="151" t="s">
        <v>9</v>
      </c>
      <c r="F1052" s="152">
        <v>100</v>
      </c>
      <c r="G1052" s="152">
        <v>10000</v>
      </c>
    </row>
    <row r="1053" spans="1:7" ht="15.75" x14ac:dyDescent="0.3">
      <c r="A1053" s="148" t="s">
        <v>82</v>
      </c>
      <c r="B1053" s="149">
        <v>1005358</v>
      </c>
      <c r="C1053" s="148" t="s">
        <v>1320</v>
      </c>
      <c r="D1053" s="150">
        <v>5.0999999999999996</v>
      </c>
      <c r="E1053" s="151" t="s">
        <v>7</v>
      </c>
      <c r="F1053" s="152">
        <v>3</v>
      </c>
      <c r="G1053" s="152">
        <v>30</v>
      </c>
    </row>
    <row r="1054" spans="1:7" ht="15.75" x14ac:dyDescent="0.3">
      <c r="A1054" s="148" t="s">
        <v>81</v>
      </c>
      <c r="B1054" s="149">
        <v>1005290</v>
      </c>
      <c r="C1054" s="148" t="s">
        <v>1321</v>
      </c>
      <c r="D1054" s="150">
        <v>8.7899999999999991</v>
      </c>
      <c r="E1054" s="151" t="s">
        <v>7</v>
      </c>
      <c r="F1054" s="152">
        <v>30</v>
      </c>
      <c r="G1054" s="152">
        <v>1320</v>
      </c>
    </row>
    <row r="1055" spans="1:7" ht="15.75" x14ac:dyDescent="0.3">
      <c r="A1055" s="148" t="s">
        <v>82</v>
      </c>
      <c r="B1055" s="149">
        <v>1005049</v>
      </c>
      <c r="C1055" s="148" t="s">
        <v>1322</v>
      </c>
      <c r="D1055" s="150">
        <v>1.54</v>
      </c>
      <c r="E1055" s="151" t="s">
        <v>8</v>
      </c>
      <c r="F1055" s="152">
        <v>75</v>
      </c>
      <c r="G1055" s="152">
        <v>3375</v>
      </c>
    </row>
    <row r="1056" spans="1:7" ht="15.75" x14ac:dyDescent="0.3">
      <c r="A1056" s="148" t="s">
        <v>82</v>
      </c>
      <c r="B1056" s="149">
        <v>1000015</v>
      </c>
      <c r="C1056" s="148" t="s">
        <v>1323</v>
      </c>
      <c r="D1056" s="150">
        <v>4.6100000000000003</v>
      </c>
      <c r="E1056" s="151" t="s">
        <v>8</v>
      </c>
      <c r="F1056" s="152">
        <v>103</v>
      </c>
      <c r="G1056" s="152">
        <v>2472</v>
      </c>
    </row>
    <row r="1057" spans="1:7" ht="15.75" x14ac:dyDescent="0.3">
      <c r="A1057" s="148" t="s">
        <v>82</v>
      </c>
      <c r="B1057" s="149">
        <v>1000016</v>
      </c>
      <c r="C1057" s="148" t="s">
        <v>1324</v>
      </c>
      <c r="D1057" s="150">
        <v>0.35</v>
      </c>
      <c r="E1057" s="151" t="s">
        <v>9</v>
      </c>
      <c r="F1057" s="152">
        <v>100</v>
      </c>
      <c r="G1057" s="152">
        <v>5000</v>
      </c>
    </row>
    <row r="1058" spans="1:7" ht="15.75" x14ac:dyDescent="0.3">
      <c r="A1058" s="148" t="s">
        <v>82</v>
      </c>
      <c r="B1058" s="149">
        <v>1000080</v>
      </c>
      <c r="C1058" s="148" t="s">
        <v>1325</v>
      </c>
      <c r="D1058" s="150">
        <v>1.1100000000000001</v>
      </c>
      <c r="E1058" s="151" t="s">
        <v>7</v>
      </c>
      <c r="F1058" s="152">
        <v>200</v>
      </c>
      <c r="G1058" s="149"/>
    </row>
    <row r="1059" spans="1:7" ht="15.75" x14ac:dyDescent="0.3">
      <c r="A1059" s="148" t="s">
        <v>82</v>
      </c>
      <c r="B1059" s="149">
        <v>1000079</v>
      </c>
      <c r="C1059" s="148" t="s">
        <v>1326</v>
      </c>
      <c r="D1059" s="150">
        <v>0.83</v>
      </c>
      <c r="E1059" s="151" t="s">
        <v>7</v>
      </c>
      <c r="F1059" s="152">
        <v>200</v>
      </c>
      <c r="G1059" s="149"/>
    </row>
    <row r="1060" spans="1:7" ht="15.75" x14ac:dyDescent="0.3">
      <c r="A1060" s="148" t="s">
        <v>82</v>
      </c>
      <c r="B1060" s="149">
        <v>1135493</v>
      </c>
      <c r="C1060" s="148" t="s">
        <v>1327</v>
      </c>
      <c r="D1060" s="150">
        <v>0.88</v>
      </c>
      <c r="E1060" s="151" t="s">
        <v>7</v>
      </c>
      <c r="F1060" s="152">
        <v>400</v>
      </c>
      <c r="G1060" s="149"/>
    </row>
    <row r="1061" spans="1:7" ht="15.75" x14ac:dyDescent="0.3">
      <c r="A1061" s="148" t="s">
        <v>82</v>
      </c>
      <c r="B1061" s="149">
        <v>1135494</v>
      </c>
      <c r="C1061" s="148" t="s">
        <v>1328</v>
      </c>
      <c r="D1061" s="150">
        <v>0.96</v>
      </c>
      <c r="E1061" s="151" t="s">
        <v>7</v>
      </c>
      <c r="F1061" s="152">
        <v>250</v>
      </c>
      <c r="G1061" s="149"/>
    </row>
    <row r="1062" spans="1:7" ht="15.75" x14ac:dyDescent="0.3">
      <c r="A1062" s="148" t="s">
        <v>82</v>
      </c>
      <c r="B1062" s="149">
        <v>1135495</v>
      </c>
      <c r="C1062" s="148" t="s">
        <v>1329</v>
      </c>
      <c r="D1062" s="150">
        <v>1.27</v>
      </c>
      <c r="E1062" s="151"/>
      <c r="F1062" s="149"/>
      <c r="G1062" s="149"/>
    </row>
    <row r="1063" spans="1:7" ht="15.75" x14ac:dyDescent="0.3">
      <c r="A1063" s="148" t="s">
        <v>82</v>
      </c>
      <c r="B1063" s="149">
        <v>1090229</v>
      </c>
      <c r="C1063" s="148" t="s">
        <v>1330</v>
      </c>
      <c r="D1063" s="150">
        <v>7.52</v>
      </c>
      <c r="E1063" s="151" t="s">
        <v>7</v>
      </c>
      <c r="F1063" s="152">
        <v>18</v>
      </c>
      <c r="G1063" s="152">
        <v>720</v>
      </c>
    </row>
    <row r="1064" spans="1:7" ht="15.75" x14ac:dyDescent="0.3">
      <c r="A1064" s="148" t="s">
        <v>80</v>
      </c>
      <c r="B1064" s="149">
        <v>1009132</v>
      </c>
      <c r="C1064" s="148" t="s">
        <v>1331</v>
      </c>
      <c r="D1064" s="150">
        <v>13.62</v>
      </c>
      <c r="E1064" s="151" t="s">
        <v>9</v>
      </c>
      <c r="F1064" s="152">
        <v>40</v>
      </c>
      <c r="G1064" s="152">
        <v>280</v>
      </c>
    </row>
    <row r="1065" spans="1:7" ht="15.75" x14ac:dyDescent="0.3">
      <c r="A1065" s="148" t="s">
        <v>83</v>
      </c>
      <c r="B1065" s="149">
        <v>1042471</v>
      </c>
      <c r="C1065" s="148" t="s">
        <v>1332</v>
      </c>
      <c r="D1065" s="150">
        <v>76.78</v>
      </c>
      <c r="E1065" s="151" t="s">
        <v>68</v>
      </c>
      <c r="F1065" s="152">
        <v>1</v>
      </c>
      <c r="G1065" s="152">
        <v>10</v>
      </c>
    </row>
    <row r="1066" spans="1:7" ht="15.75" x14ac:dyDescent="0.3">
      <c r="A1066" s="148" t="s">
        <v>83</v>
      </c>
      <c r="B1066" s="149">
        <v>1030583</v>
      </c>
      <c r="C1066" s="148" t="s">
        <v>1333</v>
      </c>
      <c r="D1066" s="150">
        <v>185.98</v>
      </c>
      <c r="E1066" s="151" t="s">
        <v>68</v>
      </c>
      <c r="F1066" s="152">
        <v>1</v>
      </c>
      <c r="G1066" s="152">
        <v>174</v>
      </c>
    </row>
    <row r="1067" spans="1:7" ht="15.75" x14ac:dyDescent="0.3">
      <c r="A1067" s="148" t="s">
        <v>83</v>
      </c>
      <c r="B1067" s="149">
        <v>1030584</v>
      </c>
      <c r="C1067" s="148" t="s">
        <v>1334</v>
      </c>
      <c r="D1067" s="150">
        <v>237.42</v>
      </c>
      <c r="E1067" s="151" t="s">
        <v>68</v>
      </c>
      <c r="F1067" s="152">
        <v>1</v>
      </c>
      <c r="G1067" s="152">
        <v>135</v>
      </c>
    </row>
    <row r="1068" spans="1:7" ht="15.75" x14ac:dyDescent="0.3">
      <c r="A1068" s="148" t="s">
        <v>83</v>
      </c>
      <c r="B1068" s="149">
        <v>1030585</v>
      </c>
      <c r="C1068" s="148" t="s">
        <v>1335</v>
      </c>
      <c r="D1068" s="150">
        <v>348.21</v>
      </c>
      <c r="E1068" s="151" t="s">
        <v>68</v>
      </c>
      <c r="F1068" s="152">
        <v>1</v>
      </c>
      <c r="G1068" s="152">
        <v>93</v>
      </c>
    </row>
    <row r="1069" spans="1:7" ht="15.75" x14ac:dyDescent="0.3">
      <c r="A1069" s="148" t="s">
        <v>83</v>
      </c>
      <c r="B1069" s="149">
        <v>1009209</v>
      </c>
      <c r="C1069" s="148" t="s">
        <v>1336</v>
      </c>
      <c r="D1069" s="150">
        <v>136.13</v>
      </c>
      <c r="E1069" s="151" t="s">
        <v>9</v>
      </c>
      <c r="F1069" s="152">
        <v>1</v>
      </c>
      <c r="G1069" s="152">
        <v>248</v>
      </c>
    </row>
    <row r="1070" spans="1:7" ht="15.75" x14ac:dyDescent="0.3">
      <c r="A1070" s="148" t="s">
        <v>83</v>
      </c>
      <c r="B1070" s="149">
        <v>1000138</v>
      </c>
      <c r="C1070" s="148" t="s">
        <v>344</v>
      </c>
      <c r="D1070" s="150">
        <v>32.92</v>
      </c>
      <c r="E1070" s="151" t="s">
        <v>9</v>
      </c>
      <c r="F1070" s="152">
        <v>1</v>
      </c>
      <c r="G1070" s="152">
        <v>10</v>
      </c>
    </row>
    <row r="1071" spans="1:7" ht="15.75" x14ac:dyDescent="0.3">
      <c r="A1071" s="148" t="s">
        <v>83</v>
      </c>
      <c r="B1071" s="149">
        <v>1005605</v>
      </c>
      <c r="C1071" s="148" t="s">
        <v>1337</v>
      </c>
      <c r="D1071" s="150">
        <v>32.92</v>
      </c>
      <c r="E1071" s="151" t="s">
        <v>9</v>
      </c>
      <c r="F1071" s="152">
        <v>1</v>
      </c>
      <c r="G1071" s="152">
        <v>10</v>
      </c>
    </row>
    <row r="1072" spans="1:7" ht="15.75" x14ac:dyDescent="0.3">
      <c r="A1072" s="148" t="s">
        <v>83</v>
      </c>
      <c r="B1072" s="149">
        <v>1032702</v>
      </c>
      <c r="C1072" s="148" t="s">
        <v>1338</v>
      </c>
      <c r="D1072" s="150">
        <v>28.89</v>
      </c>
      <c r="E1072" s="151" t="s">
        <v>68</v>
      </c>
      <c r="F1072" s="152">
        <v>1</v>
      </c>
      <c r="G1072" s="152">
        <v>5</v>
      </c>
    </row>
    <row r="1073" spans="1:7" ht="15.75" x14ac:dyDescent="0.3">
      <c r="A1073" s="148" t="s">
        <v>83</v>
      </c>
      <c r="B1073" s="149">
        <v>1009214</v>
      </c>
      <c r="C1073" s="148" t="s">
        <v>1339</v>
      </c>
      <c r="D1073" s="150">
        <v>3.06</v>
      </c>
      <c r="E1073" s="151" t="s">
        <v>9</v>
      </c>
      <c r="F1073" s="152">
        <v>1</v>
      </c>
      <c r="G1073" s="152">
        <v>10</v>
      </c>
    </row>
    <row r="1074" spans="1:7" ht="15.75" x14ac:dyDescent="0.3">
      <c r="A1074" s="148" t="s">
        <v>83</v>
      </c>
      <c r="B1074" s="149">
        <v>1009215</v>
      </c>
      <c r="C1074" s="148" t="s">
        <v>1340</v>
      </c>
      <c r="D1074" s="150">
        <v>8.49</v>
      </c>
      <c r="E1074" s="151" t="s">
        <v>9</v>
      </c>
      <c r="F1074" s="152">
        <v>1</v>
      </c>
      <c r="G1074" s="152">
        <v>10</v>
      </c>
    </row>
    <row r="1075" spans="1:7" ht="15.75" x14ac:dyDescent="0.3">
      <c r="A1075" s="148" t="s">
        <v>101</v>
      </c>
      <c r="B1075" s="149">
        <v>1005100</v>
      </c>
      <c r="C1075" s="148" t="s">
        <v>1341</v>
      </c>
      <c r="D1075" s="150">
        <v>75.22</v>
      </c>
      <c r="E1075" s="151" t="s">
        <v>68</v>
      </c>
      <c r="F1075" s="152">
        <v>1</v>
      </c>
      <c r="G1075" s="152">
        <v>10</v>
      </c>
    </row>
    <row r="1076" spans="1:7" ht="15.75" x14ac:dyDescent="0.3">
      <c r="A1076" s="148" t="s">
        <v>83</v>
      </c>
      <c r="B1076" s="149">
        <v>1059132</v>
      </c>
      <c r="C1076" s="148" t="s">
        <v>1342</v>
      </c>
      <c r="D1076" s="150">
        <v>52.01</v>
      </c>
      <c r="E1076" s="151" t="s">
        <v>68</v>
      </c>
      <c r="F1076" s="152">
        <v>1</v>
      </c>
      <c r="G1076" s="152">
        <v>10</v>
      </c>
    </row>
    <row r="1077" spans="1:7" ht="15.75" x14ac:dyDescent="0.3">
      <c r="A1077" s="148" t="s">
        <v>85</v>
      </c>
      <c r="B1077" s="149">
        <v>1086558</v>
      </c>
      <c r="C1077" s="148" t="s">
        <v>1343</v>
      </c>
      <c r="D1077" s="150">
        <v>43.56</v>
      </c>
      <c r="E1077" s="151" t="s">
        <v>68</v>
      </c>
      <c r="F1077" s="152">
        <v>1</v>
      </c>
      <c r="G1077" s="152">
        <v>10</v>
      </c>
    </row>
    <row r="1078" spans="1:7" ht="15.75" x14ac:dyDescent="0.3">
      <c r="A1078" s="148" t="s">
        <v>155</v>
      </c>
      <c r="B1078" s="149">
        <v>1086559</v>
      </c>
      <c r="C1078" s="148" t="s">
        <v>1344</v>
      </c>
      <c r="D1078" s="150">
        <v>89.33</v>
      </c>
      <c r="E1078" s="151" t="s">
        <v>68</v>
      </c>
      <c r="F1078" s="152">
        <v>1</v>
      </c>
      <c r="G1078" s="149"/>
    </row>
    <row r="1079" spans="1:7" ht="15.75" x14ac:dyDescent="0.3">
      <c r="A1079" s="148" t="s">
        <v>83</v>
      </c>
      <c r="B1079" s="149">
        <v>1009217</v>
      </c>
      <c r="C1079" s="148" t="s">
        <v>1345</v>
      </c>
      <c r="D1079" s="150">
        <v>17.03</v>
      </c>
      <c r="E1079" s="151" t="s">
        <v>9</v>
      </c>
      <c r="F1079" s="152">
        <v>1</v>
      </c>
      <c r="G1079" s="152">
        <v>20</v>
      </c>
    </row>
    <row r="1080" spans="1:7" ht="15.75" x14ac:dyDescent="0.3">
      <c r="A1080" s="148" t="s">
        <v>83</v>
      </c>
      <c r="B1080" s="149">
        <v>1137437</v>
      </c>
      <c r="C1080" s="148" t="s">
        <v>1346</v>
      </c>
      <c r="D1080" s="150">
        <v>484.62</v>
      </c>
      <c r="E1080" s="151" t="s">
        <v>68</v>
      </c>
      <c r="F1080" s="152">
        <v>1</v>
      </c>
      <c r="G1080" s="152">
        <v>125</v>
      </c>
    </row>
    <row r="1081" spans="1:7" ht="15.75" x14ac:dyDescent="0.3">
      <c r="A1081" s="148" t="s">
        <v>1347</v>
      </c>
      <c r="B1081" s="149">
        <v>1135297</v>
      </c>
      <c r="C1081" s="148" t="s">
        <v>1348</v>
      </c>
      <c r="D1081" s="150">
        <v>75.55</v>
      </c>
      <c r="E1081" s="151" t="s">
        <v>68</v>
      </c>
      <c r="F1081" s="152">
        <v>1</v>
      </c>
      <c r="G1081" s="152">
        <v>15</v>
      </c>
    </row>
    <row r="1082" spans="1:7" ht="15.75" x14ac:dyDescent="0.3">
      <c r="A1082" s="148" t="s">
        <v>1347</v>
      </c>
      <c r="B1082" s="149">
        <v>1135299</v>
      </c>
      <c r="C1082" s="148" t="s">
        <v>1349</v>
      </c>
      <c r="D1082" s="150">
        <v>43.76</v>
      </c>
      <c r="E1082" s="151" t="s">
        <v>68</v>
      </c>
      <c r="F1082" s="152">
        <v>1</v>
      </c>
      <c r="G1082" s="152">
        <v>15</v>
      </c>
    </row>
    <row r="1083" spans="1:7" ht="15.75" x14ac:dyDescent="0.3">
      <c r="A1083" s="148" t="s">
        <v>1347</v>
      </c>
      <c r="B1083" s="149">
        <v>1135295</v>
      </c>
      <c r="C1083" s="148" t="s">
        <v>1350</v>
      </c>
      <c r="D1083" s="150">
        <v>57.92</v>
      </c>
      <c r="E1083" s="151" t="s">
        <v>68</v>
      </c>
      <c r="F1083" s="152">
        <v>1</v>
      </c>
      <c r="G1083" s="152">
        <v>15</v>
      </c>
    </row>
    <row r="1084" spans="1:7" ht="15.75" x14ac:dyDescent="0.3">
      <c r="A1084" s="148" t="s">
        <v>85</v>
      </c>
      <c r="B1084" s="149">
        <v>1086538</v>
      </c>
      <c r="C1084" s="148" t="s">
        <v>86</v>
      </c>
      <c r="D1084" s="150">
        <v>162.51</v>
      </c>
      <c r="E1084" s="151" t="s">
        <v>9</v>
      </c>
      <c r="F1084" s="152">
        <v>1</v>
      </c>
      <c r="G1084" s="152">
        <v>108</v>
      </c>
    </row>
    <row r="1085" spans="1:7" ht="15.75" x14ac:dyDescent="0.3">
      <c r="A1085" s="148" t="s">
        <v>85</v>
      </c>
      <c r="B1085" s="149">
        <v>1086539</v>
      </c>
      <c r="C1085" s="148" t="s">
        <v>87</v>
      </c>
      <c r="D1085" s="150">
        <v>197.09</v>
      </c>
      <c r="E1085" s="151" t="s">
        <v>9</v>
      </c>
      <c r="F1085" s="152">
        <v>1</v>
      </c>
      <c r="G1085" s="152">
        <v>108</v>
      </c>
    </row>
    <row r="1086" spans="1:7" ht="15.75" x14ac:dyDescent="0.3">
      <c r="A1086" s="148" t="s">
        <v>85</v>
      </c>
      <c r="B1086" s="149">
        <v>1086540</v>
      </c>
      <c r="C1086" s="148" t="s">
        <v>88</v>
      </c>
      <c r="D1086" s="150">
        <v>238.58</v>
      </c>
      <c r="E1086" s="151" t="s">
        <v>9</v>
      </c>
      <c r="F1086" s="152">
        <v>1</v>
      </c>
      <c r="G1086" s="152">
        <v>108</v>
      </c>
    </row>
    <row r="1087" spans="1:7" ht="15.75" x14ac:dyDescent="0.3">
      <c r="A1087" s="148" t="s">
        <v>85</v>
      </c>
      <c r="B1087" s="149">
        <v>1086541</v>
      </c>
      <c r="C1087" s="148" t="s">
        <v>89</v>
      </c>
      <c r="D1087" s="150">
        <v>283.52999999999997</v>
      </c>
      <c r="E1087" s="151" t="s">
        <v>9</v>
      </c>
      <c r="F1087" s="152">
        <v>1</v>
      </c>
      <c r="G1087" s="152">
        <v>108</v>
      </c>
    </row>
    <row r="1088" spans="1:7" ht="15.75" x14ac:dyDescent="0.3">
      <c r="A1088" s="148" t="s">
        <v>85</v>
      </c>
      <c r="B1088" s="149">
        <v>1086542</v>
      </c>
      <c r="C1088" s="148" t="s">
        <v>90</v>
      </c>
      <c r="D1088" s="150">
        <v>328.49</v>
      </c>
      <c r="E1088" s="151" t="s">
        <v>9</v>
      </c>
      <c r="F1088" s="152">
        <v>1</v>
      </c>
      <c r="G1088" s="152">
        <v>72</v>
      </c>
    </row>
    <row r="1089" spans="1:7" ht="15.75" x14ac:dyDescent="0.3">
      <c r="A1089" s="148" t="s">
        <v>85</v>
      </c>
      <c r="B1089" s="149">
        <v>1086543</v>
      </c>
      <c r="C1089" s="148" t="s">
        <v>91</v>
      </c>
      <c r="D1089" s="150">
        <v>373.41</v>
      </c>
      <c r="E1089" s="151" t="s">
        <v>9</v>
      </c>
      <c r="F1089" s="152">
        <v>1</v>
      </c>
      <c r="G1089" s="152">
        <v>72</v>
      </c>
    </row>
    <row r="1090" spans="1:7" ht="15.75" x14ac:dyDescent="0.3">
      <c r="A1090" s="148" t="s">
        <v>85</v>
      </c>
      <c r="B1090" s="149">
        <v>1086544</v>
      </c>
      <c r="C1090" s="148" t="s">
        <v>92</v>
      </c>
      <c r="D1090" s="150">
        <v>418.39</v>
      </c>
      <c r="E1090" s="151" t="s">
        <v>9</v>
      </c>
      <c r="F1090" s="152">
        <v>1</v>
      </c>
      <c r="G1090" s="152">
        <v>72</v>
      </c>
    </row>
    <row r="1091" spans="1:7" ht="15.75" x14ac:dyDescent="0.3">
      <c r="A1091" s="148" t="s">
        <v>85</v>
      </c>
      <c r="B1091" s="149">
        <v>1086545</v>
      </c>
      <c r="C1091" s="148" t="s">
        <v>93</v>
      </c>
      <c r="D1091" s="150">
        <v>463.34</v>
      </c>
      <c r="E1091" s="151" t="s">
        <v>9</v>
      </c>
      <c r="F1091" s="152">
        <v>1</v>
      </c>
      <c r="G1091" s="152">
        <v>72</v>
      </c>
    </row>
    <row r="1092" spans="1:7" ht="15.75" x14ac:dyDescent="0.3">
      <c r="A1092" s="148" t="s">
        <v>85</v>
      </c>
      <c r="B1092" s="149">
        <v>1086546</v>
      </c>
      <c r="C1092" s="148" t="s">
        <v>94</v>
      </c>
      <c r="D1092" s="150">
        <v>508.27</v>
      </c>
      <c r="E1092" s="151" t="s">
        <v>9</v>
      </c>
      <c r="F1092" s="152">
        <v>1</v>
      </c>
      <c r="G1092" s="152">
        <v>48</v>
      </c>
    </row>
    <row r="1093" spans="1:7" ht="15.75" x14ac:dyDescent="0.3">
      <c r="A1093" s="148" t="s">
        <v>85</v>
      </c>
      <c r="B1093" s="149">
        <v>1086547</v>
      </c>
      <c r="C1093" s="148" t="s">
        <v>95</v>
      </c>
      <c r="D1093" s="150">
        <v>546.32000000000005</v>
      </c>
      <c r="E1093" s="151" t="s">
        <v>9</v>
      </c>
      <c r="F1093" s="152">
        <v>1</v>
      </c>
      <c r="G1093" s="152">
        <v>48</v>
      </c>
    </row>
    <row r="1094" spans="1:7" ht="15.75" x14ac:dyDescent="0.3">
      <c r="A1094" s="148" t="s">
        <v>85</v>
      </c>
      <c r="B1094" s="149">
        <v>1086548</v>
      </c>
      <c r="C1094" s="148" t="s">
        <v>96</v>
      </c>
      <c r="D1094" s="150">
        <v>580.9</v>
      </c>
      <c r="E1094" s="151" t="s">
        <v>9</v>
      </c>
      <c r="F1094" s="152">
        <v>1</v>
      </c>
      <c r="G1094" s="152">
        <v>48</v>
      </c>
    </row>
    <row r="1095" spans="1:7" ht="15.75" x14ac:dyDescent="0.3">
      <c r="A1095" s="148" t="s">
        <v>85</v>
      </c>
      <c r="B1095" s="149">
        <v>1088864</v>
      </c>
      <c r="C1095" s="148" t="s">
        <v>97</v>
      </c>
      <c r="D1095" s="150">
        <v>643.48</v>
      </c>
      <c r="E1095" s="151" t="s">
        <v>9</v>
      </c>
      <c r="F1095" s="152">
        <v>1</v>
      </c>
      <c r="G1095" s="152">
        <v>48</v>
      </c>
    </row>
    <row r="1096" spans="1:7" ht="15.75" x14ac:dyDescent="0.3">
      <c r="A1096" s="148" t="s">
        <v>85</v>
      </c>
      <c r="B1096" s="149">
        <v>1088865</v>
      </c>
      <c r="C1096" s="148" t="s">
        <v>98</v>
      </c>
      <c r="D1096" s="150">
        <v>695.55</v>
      </c>
      <c r="E1096" s="151" t="s">
        <v>9</v>
      </c>
      <c r="F1096" s="152">
        <v>1</v>
      </c>
      <c r="G1096" s="152">
        <v>36</v>
      </c>
    </row>
    <row r="1097" spans="1:7" ht="15.75" x14ac:dyDescent="0.3">
      <c r="A1097" s="148" t="s">
        <v>85</v>
      </c>
      <c r="B1097" s="149">
        <v>1088866</v>
      </c>
      <c r="C1097" s="148" t="s">
        <v>99</v>
      </c>
      <c r="D1097" s="150">
        <v>745.16</v>
      </c>
      <c r="E1097" s="151" t="s">
        <v>9</v>
      </c>
      <c r="F1097" s="152">
        <v>1</v>
      </c>
      <c r="G1097" s="152">
        <v>36</v>
      </c>
    </row>
    <row r="1098" spans="1:7" ht="15.75" x14ac:dyDescent="0.3">
      <c r="A1098" s="148" t="s">
        <v>85</v>
      </c>
      <c r="B1098" s="149">
        <v>1088867</v>
      </c>
      <c r="C1098" s="148" t="s">
        <v>100</v>
      </c>
      <c r="D1098" s="150">
        <v>795.92</v>
      </c>
      <c r="E1098" s="151" t="s">
        <v>9</v>
      </c>
      <c r="F1098" s="152">
        <v>1</v>
      </c>
      <c r="G1098" s="152">
        <v>36</v>
      </c>
    </row>
    <row r="1099" spans="1:7" ht="15.75" x14ac:dyDescent="0.3">
      <c r="A1099" s="148" t="s">
        <v>85</v>
      </c>
      <c r="B1099" s="149">
        <v>1088045</v>
      </c>
      <c r="C1099" s="148" t="s">
        <v>345</v>
      </c>
      <c r="D1099" s="150">
        <v>153.82</v>
      </c>
      <c r="E1099" s="151" t="s">
        <v>9</v>
      </c>
      <c r="F1099" s="152">
        <v>1</v>
      </c>
      <c r="G1099" s="152">
        <v>108</v>
      </c>
    </row>
    <row r="1100" spans="1:7" ht="15.75" x14ac:dyDescent="0.3">
      <c r="A1100" s="148" t="s">
        <v>85</v>
      </c>
      <c r="B1100" s="149">
        <v>1088046</v>
      </c>
      <c r="C1100" s="148" t="s">
        <v>346</v>
      </c>
      <c r="D1100" s="150">
        <v>184.04</v>
      </c>
      <c r="E1100" s="151" t="s">
        <v>9</v>
      </c>
      <c r="F1100" s="152">
        <v>1</v>
      </c>
      <c r="G1100" s="152">
        <v>108</v>
      </c>
    </row>
    <row r="1101" spans="1:7" ht="15.75" x14ac:dyDescent="0.3">
      <c r="A1101" s="148" t="s">
        <v>85</v>
      </c>
      <c r="B1101" s="149">
        <v>1088047</v>
      </c>
      <c r="C1101" s="148" t="s">
        <v>347</v>
      </c>
      <c r="D1101" s="150">
        <v>221.2</v>
      </c>
      <c r="E1101" s="151" t="s">
        <v>9</v>
      </c>
      <c r="F1101" s="152">
        <v>1</v>
      </c>
      <c r="G1101" s="152">
        <v>108</v>
      </c>
    </row>
    <row r="1102" spans="1:7" ht="15.75" x14ac:dyDescent="0.3">
      <c r="A1102" s="148" t="s">
        <v>85</v>
      </c>
      <c r="B1102" s="149">
        <v>1088048</v>
      </c>
      <c r="C1102" s="148" t="s">
        <v>348</v>
      </c>
      <c r="D1102" s="150">
        <v>261.81</v>
      </c>
      <c r="E1102" s="151" t="s">
        <v>9</v>
      </c>
      <c r="F1102" s="152">
        <v>1</v>
      </c>
      <c r="G1102" s="152">
        <v>108</v>
      </c>
    </row>
    <row r="1103" spans="1:7" ht="15.75" x14ac:dyDescent="0.3">
      <c r="A1103" s="148" t="s">
        <v>85</v>
      </c>
      <c r="B1103" s="149">
        <v>1088049</v>
      </c>
      <c r="C1103" s="148" t="s">
        <v>349</v>
      </c>
      <c r="D1103" s="150">
        <v>302.41000000000003</v>
      </c>
      <c r="E1103" s="151" t="s">
        <v>9</v>
      </c>
      <c r="F1103" s="152">
        <v>1</v>
      </c>
      <c r="G1103" s="152">
        <v>72</v>
      </c>
    </row>
    <row r="1104" spans="1:7" ht="15.75" x14ac:dyDescent="0.3">
      <c r="A1104" s="148" t="s">
        <v>85</v>
      </c>
      <c r="B1104" s="149">
        <v>1088050</v>
      </c>
      <c r="C1104" s="148" t="s">
        <v>350</v>
      </c>
      <c r="D1104" s="150">
        <v>343</v>
      </c>
      <c r="E1104" s="151" t="s">
        <v>9</v>
      </c>
      <c r="F1104" s="152">
        <v>1</v>
      </c>
      <c r="G1104" s="152">
        <v>72</v>
      </c>
    </row>
    <row r="1105" spans="1:7" ht="15.75" x14ac:dyDescent="0.3">
      <c r="A1105" s="148" t="s">
        <v>85</v>
      </c>
      <c r="B1105" s="149">
        <v>1088051</v>
      </c>
      <c r="C1105" s="148" t="s">
        <v>351</v>
      </c>
      <c r="D1105" s="150">
        <v>383.63</v>
      </c>
      <c r="E1105" s="151" t="s">
        <v>9</v>
      </c>
      <c r="F1105" s="152">
        <v>1</v>
      </c>
      <c r="G1105" s="152">
        <v>72</v>
      </c>
    </row>
    <row r="1106" spans="1:7" ht="15.75" x14ac:dyDescent="0.3">
      <c r="A1106" s="148" t="s">
        <v>85</v>
      </c>
      <c r="B1106" s="149">
        <v>1088052</v>
      </c>
      <c r="C1106" s="148" t="s">
        <v>352</v>
      </c>
      <c r="D1106" s="150">
        <v>424.2</v>
      </c>
      <c r="E1106" s="151" t="s">
        <v>9</v>
      </c>
      <c r="F1106" s="152">
        <v>1</v>
      </c>
      <c r="G1106" s="152">
        <v>72</v>
      </c>
    </row>
    <row r="1107" spans="1:7" ht="15.75" x14ac:dyDescent="0.3">
      <c r="A1107" s="148" t="s">
        <v>85</v>
      </c>
      <c r="B1107" s="149">
        <v>1088053</v>
      </c>
      <c r="C1107" s="148" t="s">
        <v>353</v>
      </c>
      <c r="D1107" s="150">
        <v>464.79</v>
      </c>
      <c r="E1107" s="151" t="s">
        <v>9</v>
      </c>
      <c r="F1107" s="152">
        <v>1</v>
      </c>
      <c r="G1107" s="152">
        <v>48</v>
      </c>
    </row>
    <row r="1108" spans="1:7" ht="15.75" x14ac:dyDescent="0.3">
      <c r="A1108" s="148" t="s">
        <v>85</v>
      </c>
      <c r="B1108" s="149">
        <v>1088054</v>
      </c>
      <c r="C1108" s="148" t="s">
        <v>354</v>
      </c>
      <c r="D1108" s="150">
        <v>498.5</v>
      </c>
      <c r="E1108" s="151" t="s">
        <v>9</v>
      </c>
      <c r="F1108" s="152">
        <v>1</v>
      </c>
      <c r="G1108" s="152">
        <v>48</v>
      </c>
    </row>
    <row r="1109" spans="1:7" ht="15.75" x14ac:dyDescent="0.3">
      <c r="A1109" s="148" t="s">
        <v>85</v>
      </c>
      <c r="B1109" s="149">
        <v>1088055</v>
      </c>
      <c r="C1109" s="148" t="s">
        <v>355</v>
      </c>
      <c r="D1109" s="150">
        <v>528.74</v>
      </c>
      <c r="E1109" s="151" t="s">
        <v>9</v>
      </c>
      <c r="F1109" s="152">
        <v>1</v>
      </c>
      <c r="G1109" s="152">
        <v>48</v>
      </c>
    </row>
    <row r="1110" spans="1:7" ht="15.75" x14ac:dyDescent="0.3">
      <c r="A1110" s="148" t="s">
        <v>85</v>
      </c>
      <c r="B1110" s="149">
        <v>1088868</v>
      </c>
      <c r="C1110" s="148" t="s">
        <v>356</v>
      </c>
      <c r="D1110" s="150">
        <v>586.98</v>
      </c>
      <c r="E1110" s="151" t="s">
        <v>9</v>
      </c>
      <c r="F1110" s="152">
        <v>1</v>
      </c>
      <c r="G1110" s="152">
        <v>48</v>
      </c>
    </row>
    <row r="1111" spans="1:7" ht="15.75" x14ac:dyDescent="0.3">
      <c r="A1111" s="148" t="s">
        <v>85</v>
      </c>
      <c r="B1111" s="149">
        <v>1088869</v>
      </c>
      <c r="C1111" s="148" t="s">
        <v>357</v>
      </c>
      <c r="D1111" s="150">
        <v>634.71</v>
      </c>
      <c r="E1111" s="151" t="s">
        <v>9</v>
      </c>
      <c r="F1111" s="152">
        <v>1</v>
      </c>
      <c r="G1111" s="152">
        <v>36</v>
      </c>
    </row>
    <row r="1112" spans="1:7" ht="15.75" x14ac:dyDescent="0.3">
      <c r="A1112" s="148" t="s">
        <v>85</v>
      </c>
      <c r="B1112" s="149">
        <v>1088870</v>
      </c>
      <c r="C1112" s="148" t="s">
        <v>358</v>
      </c>
      <c r="D1112" s="150">
        <v>679.95</v>
      </c>
      <c r="E1112" s="151" t="s">
        <v>9</v>
      </c>
      <c r="F1112" s="152">
        <v>1</v>
      </c>
      <c r="G1112" s="152">
        <v>36</v>
      </c>
    </row>
    <row r="1113" spans="1:7" ht="15.75" x14ac:dyDescent="0.3">
      <c r="A1113" s="148" t="s">
        <v>85</v>
      </c>
      <c r="B1113" s="149">
        <v>1088871</v>
      </c>
      <c r="C1113" s="148" t="s">
        <v>359</v>
      </c>
      <c r="D1113" s="150">
        <v>726.37</v>
      </c>
      <c r="E1113" s="151" t="s">
        <v>9</v>
      </c>
      <c r="F1113" s="152">
        <v>1</v>
      </c>
      <c r="G1113" s="152">
        <v>36</v>
      </c>
    </row>
    <row r="1114" spans="1:7" ht="15.75" x14ac:dyDescent="0.3">
      <c r="A1114" s="148" t="s">
        <v>85</v>
      </c>
      <c r="B1114" s="149">
        <v>1013006</v>
      </c>
      <c r="C1114" s="148" t="s">
        <v>1351</v>
      </c>
      <c r="D1114" s="150">
        <v>32.92</v>
      </c>
      <c r="E1114" s="151" t="s">
        <v>9</v>
      </c>
      <c r="F1114" s="152">
        <v>1</v>
      </c>
      <c r="G1114" s="152">
        <v>10</v>
      </c>
    </row>
    <row r="1115" spans="1:7" ht="15.75" x14ac:dyDescent="0.3">
      <c r="A1115" s="148" t="s">
        <v>85</v>
      </c>
      <c r="B1115" s="149">
        <v>1013008</v>
      </c>
      <c r="C1115" s="148" t="s">
        <v>360</v>
      </c>
      <c r="D1115" s="150">
        <v>32.92</v>
      </c>
      <c r="E1115" s="151" t="s">
        <v>9</v>
      </c>
      <c r="F1115" s="152">
        <v>1</v>
      </c>
      <c r="G1115" s="152">
        <v>10</v>
      </c>
    </row>
    <row r="1116" spans="1:7" ht="15.75" x14ac:dyDescent="0.3">
      <c r="A1116" s="148" t="s">
        <v>1347</v>
      </c>
      <c r="B1116" s="149">
        <v>1133470</v>
      </c>
      <c r="C1116" s="148" t="s">
        <v>1352</v>
      </c>
      <c r="D1116" s="150">
        <v>142.76</v>
      </c>
      <c r="E1116" s="151" t="s">
        <v>9</v>
      </c>
      <c r="F1116" s="152">
        <v>1</v>
      </c>
      <c r="G1116" s="152">
        <v>96</v>
      </c>
    </row>
    <row r="1117" spans="1:7" ht="15.75" x14ac:dyDescent="0.3">
      <c r="A1117" s="148" t="s">
        <v>1347</v>
      </c>
      <c r="B1117" s="149">
        <v>1133471</v>
      </c>
      <c r="C1117" s="148" t="s">
        <v>1353</v>
      </c>
      <c r="D1117" s="150">
        <v>165.74</v>
      </c>
      <c r="E1117" s="151" t="s">
        <v>9</v>
      </c>
      <c r="F1117" s="152">
        <v>1</v>
      </c>
      <c r="G1117" s="152">
        <v>96</v>
      </c>
    </row>
    <row r="1118" spans="1:7" ht="15.75" x14ac:dyDescent="0.3">
      <c r="A1118" s="148" t="s">
        <v>1347</v>
      </c>
      <c r="B1118" s="149">
        <v>1133472</v>
      </c>
      <c r="C1118" s="148" t="s">
        <v>1354</v>
      </c>
      <c r="D1118" s="150">
        <v>189.88</v>
      </c>
      <c r="E1118" s="151" t="s">
        <v>9</v>
      </c>
      <c r="F1118" s="152">
        <v>1</v>
      </c>
      <c r="G1118" s="152">
        <v>96</v>
      </c>
    </row>
    <row r="1119" spans="1:7" ht="15.75" x14ac:dyDescent="0.3">
      <c r="A1119" s="148" t="s">
        <v>1347</v>
      </c>
      <c r="B1119" s="149">
        <v>1133473</v>
      </c>
      <c r="C1119" s="148" t="s">
        <v>1355</v>
      </c>
      <c r="D1119" s="150">
        <v>213.04</v>
      </c>
      <c r="E1119" s="151" t="s">
        <v>9</v>
      </c>
      <c r="F1119" s="152">
        <v>1</v>
      </c>
      <c r="G1119" s="152">
        <v>104</v>
      </c>
    </row>
    <row r="1120" spans="1:7" ht="15.75" x14ac:dyDescent="0.3">
      <c r="A1120" s="148" t="s">
        <v>1347</v>
      </c>
      <c r="B1120" s="149">
        <v>1133474</v>
      </c>
      <c r="C1120" s="148" t="s">
        <v>1356</v>
      </c>
      <c r="D1120" s="150">
        <v>236.35</v>
      </c>
      <c r="E1120" s="151" t="s">
        <v>9</v>
      </c>
      <c r="F1120" s="152">
        <v>1</v>
      </c>
      <c r="G1120" s="152">
        <v>104</v>
      </c>
    </row>
    <row r="1121" spans="1:7" ht="15.75" x14ac:dyDescent="0.3">
      <c r="A1121" s="148" t="s">
        <v>1347</v>
      </c>
      <c r="B1121" s="149">
        <v>1133475</v>
      </c>
      <c r="C1121" s="148" t="s">
        <v>1357</v>
      </c>
      <c r="D1121" s="150">
        <v>261.88</v>
      </c>
      <c r="E1121" s="151" t="s">
        <v>9</v>
      </c>
      <c r="F1121" s="152">
        <v>1</v>
      </c>
      <c r="G1121" s="152">
        <v>80</v>
      </c>
    </row>
    <row r="1122" spans="1:7" ht="15.75" x14ac:dyDescent="0.3">
      <c r="A1122" s="148" t="s">
        <v>1347</v>
      </c>
      <c r="B1122" s="149">
        <v>1133476</v>
      </c>
      <c r="C1122" s="148" t="s">
        <v>1358</v>
      </c>
      <c r="D1122" s="150">
        <v>283.61</v>
      </c>
      <c r="E1122" s="151" t="s">
        <v>9</v>
      </c>
      <c r="F1122" s="152">
        <v>1</v>
      </c>
      <c r="G1122" s="152">
        <v>80</v>
      </c>
    </row>
    <row r="1123" spans="1:7" ht="15.75" x14ac:dyDescent="0.3">
      <c r="A1123" s="148" t="s">
        <v>1347</v>
      </c>
      <c r="B1123" s="149">
        <v>1133477</v>
      </c>
      <c r="C1123" s="148" t="s">
        <v>1359</v>
      </c>
      <c r="D1123" s="150">
        <v>306.92</v>
      </c>
      <c r="E1123" s="151" t="s">
        <v>9</v>
      </c>
      <c r="F1123" s="152">
        <v>1</v>
      </c>
      <c r="G1123" s="152">
        <v>72</v>
      </c>
    </row>
    <row r="1124" spans="1:7" ht="15.75" x14ac:dyDescent="0.3">
      <c r="A1124" s="148" t="s">
        <v>1347</v>
      </c>
      <c r="B1124" s="149">
        <v>1133478</v>
      </c>
      <c r="C1124" s="148" t="s">
        <v>1360</v>
      </c>
      <c r="D1124" s="150">
        <v>331.43</v>
      </c>
      <c r="E1124" s="151" t="s">
        <v>9</v>
      </c>
      <c r="F1124" s="152">
        <v>1</v>
      </c>
      <c r="G1124" s="152">
        <v>72</v>
      </c>
    </row>
    <row r="1125" spans="1:7" ht="15.75" x14ac:dyDescent="0.3">
      <c r="A1125" s="148" t="s">
        <v>1347</v>
      </c>
      <c r="B1125" s="149">
        <v>1133479</v>
      </c>
      <c r="C1125" s="148" t="s">
        <v>1361</v>
      </c>
      <c r="D1125" s="150">
        <v>354.69</v>
      </c>
      <c r="E1125" s="151" t="s">
        <v>9</v>
      </c>
      <c r="F1125" s="152">
        <v>1</v>
      </c>
      <c r="G1125" s="152">
        <v>72</v>
      </c>
    </row>
    <row r="1126" spans="1:7" ht="15.75" x14ac:dyDescent="0.3">
      <c r="A1126" s="148" t="s">
        <v>1347</v>
      </c>
      <c r="B1126" s="149">
        <v>1133480</v>
      </c>
      <c r="C1126" s="148" t="s">
        <v>1362</v>
      </c>
      <c r="D1126" s="150">
        <v>377.45</v>
      </c>
      <c r="E1126" s="151" t="s">
        <v>9</v>
      </c>
      <c r="F1126" s="152">
        <v>1</v>
      </c>
      <c r="G1126" s="152">
        <v>72</v>
      </c>
    </row>
    <row r="1127" spans="1:7" ht="15.75" x14ac:dyDescent="0.3">
      <c r="A1127" s="148" t="s">
        <v>1347</v>
      </c>
      <c r="B1127" s="149">
        <v>1135367</v>
      </c>
      <c r="C1127" s="148" t="s">
        <v>1363</v>
      </c>
      <c r="D1127" s="150">
        <v>123.69</v>
      </c>
      <c r="E1127" s="151" t="s">
        <v>9</v>
      </c>
      <c r="F1127" s="152">
        <v>1</v>
      </c>
      <c r="G1127" s="152">
        <v>96</v>
      </c>
    </row>
    <row r="1128" spans="1:7" ht="15.75" x14ac:dyDescent="0.3">
      <c r="A1128" s="148" t="s">
        <v>1347</v>
      </c>
      <c r="B1128" s="149">
        <v>1135368</v>
      </c>
      <c r="C1128" s="148" t="s">
        <v>1364</v>
      </c>
      <c r="D1128" s="150">
        <v>151.62</v>
      </c>
      <c r="E1128" s="151" t="s">
        <v>9</v>
      </c>
      <c r="F1128" s="152">
        <v>1</v>
      </c>
      <c r="G1128" s="152">
        <v>96</v>
      </c>
    </row>
    <row r="1129" spans="1:7" ht="15.75" x14ac:dyDescent="0.3">
      <c r="A1129" s="148" t="s">
        <v>1347</v>
      </c>
      <c r="B1129" s="149">
        <v>1135369</v>
      </c>
      <c r="C1129" s="148" t="s">
        <v>1365</v>
      </c>
      <c r="D1129" s="150">
        <v>181.01</v>
      </c>
      <c r="E1129" s="151" t="s">
        <v>9</v>
      </c>
      <c r="F1129" s="152">
        <v>1</v>
      </c>
      <c r="G1129" s="152">
        <v>96</v>
      </c>
    </row>
    <row r="1130" spans="1:7" ht="15.75" x14ac:dyDescent="0.3">
      <c r="A1130" s="148" t="s">
        <v>1347</v>
      </c>
      <c r="B1130" s="149">
        <v>1135370</v>
      </c>
      <c r="C1130" s="148" t="s">
        <v>1366</v>
      </c>
      <c r="D1130" s="150">
        <v>209.12</v>
      </c>
      <c r="E1130" s="151" t="s">
        <v>9</v>
      </c>
      <c r="F1130" s="152">
        <v>1</v>
      </c>
      <c r="G1130" s="152">
        <v>96</v>
      </c>
    </row>
    <row r="1131" spans="1:7" ht="15.75" x14ac:dyDescent="0.3">
      <c r="A1131" s="148" t="s">
        <v>1347</v>
      </c>
      <c r="B1131" s="149">
        <v>1135371</v>
      </c>
      <c r="C1131" s="148" t="s">
        <v>1367</v>
      </c>
      <c r="D1131" s="150">
        <v>237.41</v>
      </c>
      <c r="E1131" s="151" t="s">
        <v>9</v>
      </c>
      <c r="F1131" s="152">
        <v>1</v>
      </c>
      <c r="G1131" s="152">
        <v>96</v>
      </c>
    </row>
    <row r="1132" spans="1:7" ht="15.75" x14ac:dyDescent="0.3">
      <c r="A1132" s="148" t="s">
        <v>1347</v>
      </c>
      <c r="B1132" s="149">
        <v>1135372</v>
      </c>
      <c r="C1132" s="148" t="s">
        <v>1368</v>
      </c>
      <c r="D1132" s="150">
        <v>268.48</v>
      </c>
      <c r="E1132" s="151" t="s">
        <v>9</v>
      </c>
      <c r="F1132" s="152">
        <v>1</v>
      </c>
      <c r="G1132" s="152">
        <v>104</v>
      </c>
    </row>
    <row r="1133" spans="1:7" ht="15.75" x14ac:dyDescent="0.3">
      <c r="A1133" s="148" t="s">
        <v>1347</v>
      </c>
      <c r="B1133" s="149">
        <v>1135373</v>
      </c>
      <c r="C1133" s="148" t="s">
        <v>1369</v>
      </c>
      <c r="D1133" s="150">
        <v>294.93</v>
      </c>
      <c r="E1133" s="151" t="s">
        <v>9</v>
      </c>
      <c r="F1133" s="152">
        <v>1</v>
      </c>
      <c r="G1133" s="152">
        <v>104</v>
      </c>
    </row>
    <row r="1134" spans="1:7" ht="15.75" x14ac:dyDescent="0.3">
      <c r="A1134" s="148" t="s">
        <v>1347</v>
      </c>
      <c r="B1134" s="149">
        <v>1135374</v>
      </c>
      <c r="C1134" s="148" t="s">
        <v>1370</v>
      </c>
      <c r="D1134" s="150">
        <v>323.22000000000003</v>
      </c>
      <c r="E1134" s="151" t="s">
        <v>9</v>
      </c>
      <c r="F1134" s="152">
        <v>1</v>
      </c>
      <c r="G1134" s="152">
        <v>80</v>
      </c>
    </row>
    <row r="1135" spans="1:7" ht="15.75" x14ac:dyDescent="0.3">
      <c r="A1135" s="148" t="s">
        <v>1347</v>
      </c>
      <c r="B1135" s="149">
        <v>1135375</v>
      </c>
      <c r="C1135" s="148" t="s">
        <v>1371</v>
      </c>
      <c r="D1135" s="150">
        <v>353.08</v>
      </c>
      <c r="E1135" s="151" t="s">
        <v>9</v>
      </c>
      <c r="F1135" s="152">
        <v>1</v>
      </c>
      <c r="G1135" s="152">
        <v>80</v>
      </c>
    </row>
    <row r="1136" spans="1:7" ht="15.75" x14ac:dyDescent="0.3">
      <c r="A1136" s="148" t="s">
        <v>1347</v>
      </c>
      <c r="B1136" s="149">
        <v>1135376</v>
      </c>
      <c r="C1136" s="148" t="s">
        <v>1372</v>
      </c>
      <c r="D1136" s="150">
        <v>381.33</v>
      </c>
      <c r="E1136" s="151" t="s">
        <v>9</v>
      </c>
      <c r="F1136" s="152">
        <v>1</v>
      </c>
      <c r="G1136" s="152">
        <v>72</v>
      </c>
    </row>
    <row r="1137" spans="1:7" ht="15.75" x14ac:dyDescent="0.3">
      <c r="A1137" s="148" t="s">
        <v>1347</v>
      </c>
      <c r="B1137" s="149">
        <v>1135377</v>
      </c>
      <c r="C1137" s="148" t="s">
        <v>1373</v>
      </c>
      <c r="D1137" s="150">
        <v>408.92</v>
      </c>
      <c r="E1137" s="151" t="s">
        <v>9</v>
      </c>
      <c r="F1137" s="152">
        <v>1</v>
      </c>
      <c r="G1137" s="152">
        <v>72</v>
      </c>
    </row>
    <row r="1138" spans="1:7" ht="15.75" x14ac:dyDescent="0.3">
      <c r="A1138" s="148" t="s">
        <v>1347</v>
      </c>
      <c r="B1138" s="149">
        <v>1135378</v>
      </c>
      <c r="C1138" s="148" t="s">
        <v>1374</v>
      </c>
      <c r="D1138" s="150">
        <v>130.75</v>
      </c>
      <c r="E1138" s="151" t="s">
        <v>9</v>
      </c>
      <c r="F1138" s="152">
        <v>1</v>
      </c>
      <c r="G1138" s="152">
        <v>96</v>
      </c>
    </row>
    <row r="1139" spans="1:7" ht="15.75" x14ac:dyDescent="0.3">
      <c r="A1139" s="148" t="s">
        <v>1347</v>
      </c>
      <c r="B1139" s="149">
        <v>1135379</v>
      </c>
      <c r="C1139" s="148" t="s">
        <v>1375</v>
      </c>
      <c r="D1139" s="150">
        <v>161.72</v>
      </c>
      <c r="E1139" s="151" t="s">
        <v>9</v>
      </c>
      <c r="F1139" s="152">
        <v>1</v>
      </c>
      <c r="G1139" s="152">
        <v>96</v>
      </c>
    </row>
    <row r="1140" spans="1:7" ht="15.75" x14ac:dyDescent="0.3">
      <c r="A1140" s="148" t="s">
        <v>1347</v>
      </c>
      <c r="B1140" s="149">
        <v>1135380</v>
      </c>
      <c r="C1140" s="148" t="s">
        <v>1376</v>
      </c>
      <c r="D1140" s="150">
        <v>194.27</v>
      </c>
      <c r="E1140" s="151" t="s">
        <v>9</v>
      </c>
      <c r="F1140" s="152">
        <v>1</v>
      </c>
      <c r="G1140" s="152">
        <v>96</v>
      </c>
    </row>
    <row r="1141" spans="1:7" ht="15.75" x14ac:dyDescent="0.3">
      <c r="A1141" s="148" t="s">
        <v>1347</v>
      </c>
      <c r="B1141" s="149">
        <v>1135381</v>
      </c>
      <c r="C1141" s="148" t="s">
        <v>1377</v>
      </c>
      <c r="D1141" s="150">
        <v>225.14</v>
      </c>
      <c r="E1141" s="151" t="s">
        <v>9</v>
      </c>
      <c r="F1141" s="152">
        <v>1</v>
      </c>
      <c r="G1141" s="152">
        <v>96</v>
      </c>
    </row>
    <row r="1142" spans="1:7" ht="15.75" x14ac:dyDescent="0.3">
      <c r="A1142" s="148" t="s">
        <v>1347</v>
      </c>
      <c r="B1142" s="149">
        <v>1135382</v>
      </c>
      <c r="C1142" s="148" t="s">
        <v>1378</v>
      </c>
      <c r="D1142" s="150">
        <v>256.47000000000003</v>
      </c>
      <c r="E1142" s="151" t="s">
        <v>9</v>
      </c>
      <c r="F1142" s="152">
        <v>1</v>
      </c>
      <c r="G1142" s="152">
        <v>96</v>
      </c>
    </row>
    <row r="1143" spans="1:7" ht="15.75" x14ac:dyDescent="0.3">
      <c r="A1143" s="148" t="s">
        <v>1347</v>
      </c>
      <c r="B1143" s="149">
        <v>1135383</v>
      </c>
      <c r="C1143" s="148" t="s">
        <v>1379</v>
      </c>
      <c r="D1143" s="150">
        <v>290.3</v>
      </c>
      <c r="E1143" s="151" t="s">
        <v>9</v>
      </c>
      <c r="F1143" s="152">
        <v>1</v>
      </c>
      <c r="G1143" s="152">
        <v>104</v>
      </c>
    </row>
    <row r="1144" spans="1:7" ht="15.75" x14ac:dyDescent="0.3">
      <c r="A1144" s="148" t="s">
        <v>1347</v>
      </c>
      <c r="B1144" s="149">
        <v>1135384</v>
      </c>
      <c r="C1144" s="148" t="s">
        <v>1380</v>
      </c>
      <c r="D1144" s="150">
        <v>319.70999999999998</v>
      </c>
      <c r="E1144" s="151" t="s">
        <v>9</v>
      </c>
      <c r="F1144" s="152">
        <v>1</v>
      </c>
      <c r="G1144" s="152">
        <v>104</v>
      </c>
    </row>
    <row r="1145" spans="1:7" ht="15.75" x14ac:dyDescent="0.3">
      <c r="A1145" s="148" t="s">
        <v>1347</v>
      </c>
      <c r="B1145" s="149">
        <v>1135385</v>
      </c>
      <c r="C1145" s="148" t="s">
        <v>1381</v>
      </c>
      <c r="D1145" s="150">
        <v>351.6</v>
      </c>
      <c r="E1145" s="151" t="s">
        <v>9</v>
      </c>
      <c r="F1145" s="152">
        <v>1</v>
      </c>
      <c r="G1145" s="152">
        <v>80</v>
      </c>
    </row>
    <row r="1146" spans="1:7" ht="15.75" x14ac:dyDescent="0.3">
      <c r="A1146" s="148" t="s">
        <v>1347</v>
      </c>
      <c r="B1146" s="149">
        <v>1135386</v>
      </c>
      <c r="C1146" s="148" t="s">
        <v>1382</v>
      </c>
      <c r="D1146" s="150">
        <v>384.19</v>
      </c>
      <c r="E1146" s="151" t="s">
        <v>9</v>
      </c>
      <c r="F1146" s="152">
        <v>1</v>
      </c>
      <c r="G1146" s="152">
        <v>80</v>
      </c>
    </row>
    <row r="1147" spans="1:7" ht="15.75" x14ac:dyDescent="0.3">
      <c r="A1147" s="148" t="s">
        <v>1347</v>
      </c>
      <c r="B1147" s="149">
        <v>1135388</v>
      </c>
      <c r="C1147" s="148" t="s">
        <v>1383</v>
      </c>
      <c r="D1147" s="150">
        <v>415.33</v>
      </c>
      <c r="E1147" s="151" t="s">
        <v>9</v>
      </c>
      <c r="F1147" s="152">
        <v>1</v>
      </c>
      <c r="G1147" s="152">
        <v>72</v>
      </c>
    </row>
    <row r="1148" spans="1:7" ht="15.75" x14ac:dyDescent="0.3">
      <c r="A1148" s="148" t="s">
        <v>1347</v>
      </c>
      <c r="B1148" s="149">
        <v>1135389</v>
      </c>
      <c r="C1148" s="148" t="s">
        <v>1384</v>
      </c>
      <c r="D1148" s="150">
        <v>446.03</v>
      </c>
      <c r="E1148" s="151" t="s">
        <v>9</v>
      </c>
      <c r="F1148" s="152">
        <v>1</v>
      </c>
      <c r="G1148" s="152">
        <v>72</v>
      </c>
    </row>
    <row r="1149" spans="1:7" ht="15.75" x14ac:dyDescent="0.3">
      <c r="A1149" s="148" t="s">
        <v>361</v>
      </c>
      <c r="B1149" s="149">
        <v>1093473</v>
      </c>
      <c r="C1149" s="148" t="s">
        <v>1385</v>
      </c>
      <c r="D1149" s="150">
        <v>188.33</v>
      </c>
      <c r="E1149" s="151" t="s">
        <v>9</v>
      </c>
      <c r="F1149" s="152">
        <v>1</v>
      </c>
      <c r="G1149" s="152">
        <v>18</v>
      </c>
    </row>
    <row r="1150" spans="1:7" ht="15.75" x14ac:dyDescent="0.3">
      <c r="A1150" s="148" t="s">
        <v>361</v>
      </c>
      <c r="B1150" s="149">
        <v>1093474</v>
      </c>
      <c r="C1150" s="148" t="s">
        <v>1386</v>
      </c>
      <c r="D1150" s="150">
        <v>217.26</v>
      </c>
      <c r="E1150" s="151" t="s">
        <v>9</v>
      </c>
      <c r="F1150" s="152">
        <v>1</v>
      </c>
      <c r="G1150" s="152">
        <v>16</v>
      </c>
    </row>
    <row r="1151" spans="1:7" ht="15.75" x14ac:dyDescent="0.3">
      <c r="A1151" s="148" t="s">
        <v>361</v>
      </c>
      <c r="B1151" s="149">
        <v>1093475</v>
      </c>
      <c r="C1151" s="148" t="s">
        <v>1387</v>
      </c>
      <c r="D1151" s="150">
        <v>249.59</v>
      </c>
      <c r="E1151" s="151" t="s">
        <v>9</v>
      </c>
      <c r="F1151" s="152">
        <v>1</v>
      </c>
      <c r="G1151" s="152">
        <v>13</v>
      </c>
    </row>
    <row r="1152" spans="1:7" ht="15.75" x14ac:dyDescent="0.3">
      <c r="A1152" s="148" t="s">
        <v>361</v>
      </c>
      <c r="B1152" s="149">
        <v>1093476</v>
      </c>
      <c r="C1152" s="148" t="s">
        <v>1388</v>
      </c>
      <c r="D1152" s="150">
        <v>286.68</v>
      </c>
      <c r="E1152" s="151" t="s">
        <v>9</v>
      </c>
      <c r="F1152" s="152">
        <v>1</v>
      </c>
      <c r="G1152" s="152">
        <v>12</v>
      </c>
    </row>
    <row r="1153" spans="1:7" ht="15.75" x14ac:dyDescent="0.3">
      <c r="A1153" s="148" t="s">
        <v>361</v>
      </c>
      <c r="B1153" s="149">
        <v>1093477</v>
      </c>
      <c r="C1153" s="148" t="s">
        <v>1389</v>
      </c>
      <c r="D1153" s="150">
        <v>306.99</v>
      </c>
      <c r="E1153" s="151" t="s">
        <v>9</v>
      </c>
      <c r="F1153" s="152">
        <v>1</v>
      </c>
      <c r="G1153" s="152">
        <v>8</v>
      </c>
    </row>
    <row r="1154" spans="1:7" ht="15.75" x14ac:dyDescent="0.3">
      <c r="A1154" s="148" t="s">
        <v>361</v>
      </c>
      <c r="B1154" s="149">
        <v>1093478</v>
      </c>
      <c r="C1154" s="148" t="s">
        <v>1390</v>
      </c>
      <c r="D1154" s="150">
        <v>344.01</v>
      </c>
      <c r="E1154" s="151" t="s">
        <v>9</v>
      </c>
      <c r="F1154" s="152">
        <v>1</v>
      </c>
      <c r="G1154" s="152">
        <v>8</v>
      </c>
    </row>
    <row r="1155" spans="1:7" ht="15.75" x14ac:dyDescent="0.3">
      <c r="A1155" s="148" t="s">
        <v>361</v>
      </c>
      <c r="B1155" s="149">
        <v>1093528</v>
      </c>
      <c r="C1155" s="148" t="s">
        <v>1391</v>
      </c>
      <c r="D1155" s="150">
        <v>113.9</v>
      </c>
      <c r="E1155" s="151" t="s">
        <v>9</v>
      </c>
      <c r="F1155" s="152">
        <v>1</v>
      </c>
      <c r="G1155" s="152">
        <v>35</v>
      </c>
    </row>
    <row r="1156" spans="1:7" ht="15.75" x14ac:dyDescent="0.3">
      <c r="A1156" s="148" t="s">
        <v>361</v>
      </c>
      <c r="B1156" s="149">
        <v>1093541</v>
      </c>
      <c r="C1156" s="148" t="s">
        <v>1392</v>
      </c>
      <c r="D1156" s="150">
        <v>134.88999999999999</v>
      </c>
      <c r="E1156" s="151" t="s">
        <v>9</v>
      </c>
      <c r="F1156" s="152">
        <v>1</v>
      </c>
      <c r="G1156" s="152">
        <v>30</v>
      </c>
    </row>
    <row r="1157" spans="1:7" ht="15.75" x14ac:dyDescent="0.3">
      <c r="A1157" s="148" t="s">
        <v>361</v>
      </c>
      <c r="B1157" s="149">
        <v>1093542</v>
      </c>
      <c r="C1157" s="148" t="s">
        <v>1393</v>
      </c>
      <c r="D1157" s="150">
        <v>155.51</v>
      </c>
      <c r="E1157" s="151" t="s">
        <v>9</v>
      </c>
      <c r="F1157" s="152">
        <v>1</v>
      </c>
      <c r="G1157" s="152">
        <v>25</v>
      </c>
    </row>
    <row r="1158" spans="1:7" ht="15.75" x14ac:dyDescent="0.3">
      <c r="A1158" s="148" t="s">
        <v>361</v>
      </c>
      <c r="B1158" s="149">
        <v>1093543</v>
      </c>
      <c r="C1158" s="148" t="s">
        <v>1394</v>
      </c>
      <c r="D1158" s="150">
        <v>171.98</v>
      </c>
      <c r="E1158" s="151" t="s">
        <v>9</v>
      </c>
      <c r="F1158" s="152">
        <v>1</v>
      </c>
      <c r="G1158" s="152">
        <v>20</v>
      </c>
    </row>
    <row r="1159" spans="1:7" ht="15.75" x14ac:dyDescent="0.3">
      <c r="A1159" s="148" t="s">
        <v>361</v>
      </c>
      <c r="B1159" s="149">
        <v>1093544</v>
      </c>
      <c r="C1159" s="148" t="s">
        <v>1395</v>
      </c>
      <c r="D1159" s="150">
        <v>189.25</v>
      </c>
      <c r="E1159" s="151" t="s">
        <v>9</v>
      </c>
      <c r="F1159" s="152">
        <v>1</v>
      </c>
      <c r="G1159" s="152">
        <v>15</v>
      </c>
    </row>
    <row r="1160" spans="1:7" ht="15.75" x14ac:dyDescent="0.3">
      <c r="A1160" s="148" t="s">
        <v>361</v>
      </c>
      <c r="B1160" s="149">
        <v>1093546</v>
      </c>
      <c r="C1160" s="148" t="s">
        <v>1396</v>
      </c>
      <c r="D1160" s="150">
        <v>211.71</v>
      </c>
      <c r="E1160" s="151" t="s">
        <v>9</v>
      </c>
      <c r="F1160" s="152">
        <v>1</v>
      </c>
      <c r="G1160" s="152">
        <v>15</v>
      </c>
    </row>
    <row r="1161" spans="1:7" ht="15.75" x14ac:dyDescent="0.3">
      <c r="A1161" s="148" t="s">
        <v>361</v>
      </c>
      <c r="B1161" s="149">
        <v>1093547</v>
      </c>
      <c r="C1161" s="148" t="s">
        <v>1397</v>
      </c>
      <c r="D1161" s="150">
        <v>160.30000000000001</v>
      </c>
      <c r="E1161" s="151" t="s">
        <v>9</v>
      </c>
      <c r="F1161" s="152">
        <v>1</v>
      </c>
      <c r="G1161" s="152">
        <v>35</v>
      </c>
    </row>
    <row r="1162" spans="1:7" ht="15.75" x14ac:dyDescent="0.3">
      <c r="A1162" s="148" t="s">
        <v>361</v>
      </c>
      <c r="B1162" s="149">
        <v>1093548</v>
      </c>
      <c r="C1162" s="148" t="s">
        <v>1398</v>
      </c>
      <c r="D1162" s="150">
        <v>175.76</v>
      </c>
      <c r="E1162" s="151" t="s">
        <v>9</v>
      </c>
      <c r="F1162" s="152">
        <v>1</v>
      </c>
      <c r="G1162" s="152">
        <v>30</v>
      </c>
    </row>
    <row r="1163" spans="1:7" ht="15.75" x14ac:dyDescent="0.3">
      <c r="A1163" s="148" t="s">
        <v>361</v>
      </c>
      <c r="B1163" s="149">
        <v>1093549</v>
      </c>
      <c r="C1163" s="148" t="s">
        <v>1399</v>
      </c>
      <c r="D1163" s="150">
        <v>197.47</v>
      </c>
      <c r="E1163" s="151" t="s">
        <v>9</v>
      </c>
      <c r="F1163" s="152">
        <v>1</v>
      </c>
      <c r="G1163" s="152">
        <v>25</v>
      </c>
    </row>
    <row r="1164" spans="1:7" ht="15.75" x14ac:dyDescent="0.3">
      <c r="A1164" s="148" t="s">
        <v>361</v>
      </c>
      <c r="B1164" s="149">
        <v>1093550</v>
      </c>
      <c r="C1164" s="148" t="s">
        <v>1400</v>
      </c>
      <c r="D1164" s="150">
        <v>222.95</v>
      </c>
      <c r="E1164" s="151" t="s">
        <v>9</v>
      </c>
      <c r="F1164" s="152">
        <v>1</v>
      </c>
      <c r="G1164" s="152">
        <v>20</v>
      </c>
    </row>
    <row r="1165" spans="1:7" ht="15.75" x14ac:dyDescent="0.3">
      <c r="A1165" s="148" t="s">
        <v>361</v>
      </c>
      <c r="B1165" s="149">
        <v>1093551</v>
      </c>
      <c r="C1165" s="148" t="s">
        <v>1401</v>
      </c>
      <c r="D1165" s="150">
        <v>231.18</v>
      </c>
      <c r="E1165" s="151" t="s">
        <v>9</v>
      </c>
      <c r="F1165" s="152">
        <v>1</v>
      </c>
      <c r="G1165" s="152">
        <v>15</v>
      </c>
    </row>
    <row r="1166" spans="1:7" ht="15.75" x14ac:dyDescent="0.3">
      <c r="A1166" s="148" t="s">
        <v>361</v>
      </c>
      <c r="B1166" s="149">
        <v>1093552</v>
      </c>
      <c r="C1166" s="148" t="s">
        <v>1402</v>
      </c>
      <c r="D1166" s="150">
        <v>278.39</v>
      </c>
      <c r="E1166" s="151" t="s">
        <v>9</v>
      </c>
      <c r="F1166" s="152">
        <v>1</v>
      </c>
      <c r="G1166" s="152">
        <v>15</v>
      </c>
    </row>
    <row r="1167" spans="1:7" ht="15.75" x14ac:dyDescent="0.3">
      <c r="A1167" s="148" t="s">
        <v>361</v>
      </c>
      <c r="B1167" s="149">
        <v>1121509</v>
      </c>
      <c r="C1167" s="148" t="s">
        <v>1403</v>
      </c>
      <c r="D1167" s="150">
        <v>134.22</v>
      </c>
      <c r="E1167" s="151" t="s">
        <v>9</v>
      </c>
      <c r="F1167" s="152">
        <v>1</v>
      </c>
      <c r="G1167" s="152">
        <v>26</v>
      </c>
    </row>
    <row r="1168" spans="1:7" ht="15.75" x14ac:dyDescent="0.3">
      <c r="A1168" s="148" t="s">
        <v>361</v>
      </c>
      <c r="B1168" s="149">
        <v>1121510</v>
      </c>
      <c r="C1168" s="148" t="s">
        <v>1404</v>
      </c>
      <c r="D1168" s="150">
        <v>154.24</v>
      </c>
      <c r="E1168" s="151" t="s">
        <v>9</v>
      </c>
      <c r="F1168" s="152">
        <v>1</v>
      </c>
      <c r="G1168" s="152">
        <v>15</v>
      </c>
    </row>
    <row r="1169" spans="1:7" ht="15.75" x14ac:dyDescent="0.3">
      <c r="A1169" s="148" t="s">
        <v>361</v>
      </c>
      <c r="B1169" s="149">
        <v>1121511</v>
      </c>
      <c r="C1169" s="148" t="s">
        <v>1405</v>
      </c>
      <c r="D1169" s="150">
        <v>156.06</v>
      </c>
      <c r="E1169" s="151" t="s">
        <v>9</v>
      </c>
      <c r="F1169" s="152">
        <v>1</v>
      </c>
      <c r="G1169" s="152">
        <v>16</v>
      </c>
    </row>
    <row r="1170" spans="1:7" ht="15.75" x14ac:dyDescent="0.3">
      <c r="A1170" s="148" t="s">
        <v>361</v>
      </c>
      <c r="B1170" s="149">
        <v>1121512</v>
      </c>
      <c r="C1170" s="148" t="s">
        <v>1406</v>
      </c>
      <c r="D1170" s="150">
        <v>164.92</v>
      </c>
      <c r="E1170" s="151" t="s">
        <v>9</v>
      </c>
      <c r="F1170" s="152">
        <v>1</v>
      </c>
      <c r="G1170" s="152">
        <v>10</v>
      </c>
    </row>
    <row r="1171" spans="1:7" ht="15.75" x14ac:dyDescent="0.3">
      <c r="A1171" s="148" t="s">
        <v>361</v>
      </c>
      <c r="B1171" s="149">
        <v>1121513</v>
      </c>
      <c r="C1171" s="148" t="s">
        <v>1407</v>
      </c>
      <c r="D1171" s="150">
        <v>196.81</v>
      </c>
      <c r="E1171" s="151" t="s">
        <v>9</v>
      </c>
      <c r="F1171" s="152">
        <v>1</v>
      </c>
      <c r="G1171" s="152">
        <v>10</v>
      </c>
    </row>
    <row r="1172" spans="1:7" ht="15.75" x14ac:dyDescent="0.3">
      <c r="A1172" s="148" t="s">
        <v>361</v>
      </c>
      <c r="B1172" s="149">
        <v>1136215</v>
      </c>
      <c r="C1172" s="148" t="s">
        <v>1408</v>
      </c>
      <c r="D1172" s="150">
        <v>93.9</v>
      </c>
      <c r="E1172" s="151" t="s">
        <v>9</v>
      </c>
      <c r="F1172" s="152">
        <v>1</v>
      </c>
      <c r="G1172" s="152">
        <v>25</v>
      </c>
    </row>
    <row r="1173" spans="1:7" ht="15.75" x14ac:dyDescent="0.3">
      <c r="A1173" s="148" t="s">
        <v>361</v>
      </c>
      <c r="B1173" s="149">
        <v>1136216</v>
      </c>
      <c r="C1173" s="148" t="s">
        <v>1409</v>
      </c>
      <c r="D1173" s="150">
        <v>101.48</v>
      </c>
      <c r="E1173" s="151" t="s">
        <v>9</v>
      </c>
      <c r="F1173" s="152">
        <v>1</v>
      </c>
      <c r="G1173" s="152">
        <v>17</v>
      </c>
    </row>
    <row r="1174" spans="1:7" ht="15.75" x14ac:dyDescent="0.3">
      <c r="A1174" s="148" t="s">
        <v>361</v>
      </c>
      <c r="B1174" s="149">
        <v>1136217</v>
      </c>
      <c r="C1174" s="148" t="s">
        <v>1410</v>
      </c>
      <c r="D1174" s="150">
        <v>109.19</v>
      </c>
      <c r="E1174" s="151" t="s">
        <v>9</v>
      </c>
      <c r="F1174" s="152">
        <v>1</v>
      </c>
      <c r="G1174" s="152">
        <v>15</v>
      </c>
    </row>
    <row r="1175" spans="1:7" ht="15.75" x14ac:dyDescent="0.3">
      <c r="A1175" s="148" t="s">
        <v>361</v>
      </c>
      <c r="B1175" s="149">
        <v>1136218</v>
      </c>
      <c r="C1175" s="148" t="s">
        <v>1411</v>
      </c>
      <c r="D1175" s="150">
        <v>123.01</v>
      </c>
      <c r="E1175" s="151" t="s">
        <v>9</v>
      </c>
      <c r="F1175" s="152">
        <v>1</v>
      </c>
      <c r="G1175" s="152">
        <v>12</v>
      </c>
    </row>
    <row r="1176" spans="1:7" ht="15.75" x14ac:dyDescent="0.3">
      <c r="A1176" s="148" t="s">
        <v>361</v>
      </c>
      <c r="B1176" s="149">
        <v>1136219</v>
      </c>
      <c r="C1176" s="148" t="s">
        <v>1412</v>
      </c>
      <c r="D1176" s="150">
        <v>170.62</v>
      </c>
      <c r="E1176" s="151" t="s">
        <v>9</v>
      </c>
      <c r="F1176" s="152">
        <v>1</v>
      </c>
      <c r="G1176" s="152">
        <v>11</v>
      </c>
    </row>
    <row r="1177" spans="1:7" ht="15.75" x14ac:dyDescent="0.3">
      <c r="A1177" s="148" t="s">
        <v>361</v>
      </c>
      <c r="B1177" s="149">
        <v>1136220</v>
      </c>
      <c r="C1177" s="148" t="s">
        <v>1413</v>
      </c>
      <c r="D1177" s="150">
        <v>192.69</v>
      </c>
      <c r="E1177" s="151" t="s">
        <v>9</v>
      </c>
      <c r="F1177" s="152">
        <v>1</v>
      </c>
      <c r="G1177" s="152">
        <v>7</v>
      </c>
    </row>
    <row r="1178" spans="1:7" ht="15.75" x14ac:dyDescent="0.3">
      <c r="A1178" s="148" t="s">
        <v>361</v>
      </c>
      <c r="B1178" s="149">
        <v>1136221</v>
      </c>
      <c r="C1178" s="148" t="s">
        <v>1414</v>
      </c>
      <c r="D1178" s="150">
        <v>182.7</v>
      </c>
      <c r="E1178" s="151" t="s">
        <v>9</v>
      </c>
      <c r="F1178" s="152">
        <v>1</v>
      </c>
      <c r="G1178" s="152">
        <v>7</v>
      </c>
    </row>
    <row r="1179" spans="1:7" ht="15.75" x14ac:dyDescent="0.3">
      <c r="A1179" s="148" t="s">
        <v>361</v>
      </c>
      <c r="B1179" s="149">
        <v>1136222</v>
      </c>
      <c r="C1179" s="148" t="s">
        <v>1415</v>
      </c>
      <c r="D1179" s="150">
        <v>208.19</v>
      </c>
      <c r="E1179" s="151" t="s">
        <v>9</v>
      </c>
      <c r="F1179" s="152">
        <v>1</v>
      </c>
      <c r="G1179" s="152">
        <v>7</v>
      </c>
    </row>
    <row r="1180" spans="1:7" ht="15.75" x14ac:dyDescent="0.3">
      <c r="A1180" s="148" t="s">
        <v>361</v>
      </c>
      <c r="B1180" s="149">
        <v>1136223</v>
      </c>
      <c r="C1180" s="148" t="s">
        <v>1416</v>
      </c>
      <c r="D1180" s="150">
        <v>61.2</v>
      </c>
      <c r="E1180" s="151" t="s">
        <v>9</v>
      </c>
      <c r="F1180" s="152">
        <v>1</v>
      </c>
      <c r="G1180" s="152">
        <v>5</v>
      </c>
    </row>
    <row r="1181" spans="1:7" ht="15.75" x14ac:dyDescent="0.3">
      <c r="A1181" s="148" t="s">
        <v>361</v>
      </c>
      <c r="B1181" s="149">
        <v>1136224</v>
      </c>
      <c r="C1181" s="148" t="s">
        <v>1417</v>
      </c>
      <c r="D1181" s="150">
        <v>68.22</v>
      </c>
      <c r="E1181" s="151" t="s">
        <v>9</v>
      </c>
      <c r="F1181" s="152">
        <v>1</v>
      </c>
      <c r="G1181" s="152">
        <v>5</v>
      </c>
    </row>
    <row r="1182" spans="1:7" ht="15.75" x14ac:dyDescent="0.3">
      <c r="A1182" s="148" t="s">
        <v>361</v>
      </c>
      <c r="B1182" s="149">
        <v>1136225</v>
      </c>
      <c r="C1182" s="148" t="s">
        <v>1418</v>
      </c>
      <c r="D1182" s="150">
        <v>100.33</v>
      </c>
      <c r="E1182" s="151" t="s">
        <v>9</v>
      </c>
      <c r="F1182" s="152">
        <v>1</v>
      </c>
      <c r="G1182" s="152">
        <v>5</v>
      </c>
    </row>
    <row r="1183" spans="1:7" ht="15.75" x14ac:dyDescent="0.3">
      <c r="A1183" s="148" t="s">
        <v>361</v>
      </c>
      <c r="B1183" s="149">
        <v>1136226</v>
      </c>
      <c r="C1183" s="148" t="s">
        <v>1419</v>
      </c>
      <c r="D1183" s="150">
        <v>104.4</v>
      </c>
      <c r="E1183" s="151" t="s">
        <v>9</v>
      </c>
      <c r="F1183" s="152">
        <v>1</v>
      </c>
      <c r="G1183" s="152">
        <v>5</v>
      </c>
    </row>
    <row r="1184" spans="1:7" ht="15.75" x14ac:dyDescent="0.3">
      <c r="A1184" s="148" t="s">
        <v>361</v>
      </c>
      <c r="B1184" s="149">
        <v>1136227</v>
      </c>
      <c r="C1184" s="148" t="s">
        <v>1420</v>
      </c>
      <c r="D1184" s="150">
        <v>114.02</v>
      </c>
      <c r="E1184" s="151" t="s">
        <v>9</v>
      </c>
      <c r="F1184" s="152">
        <v>1</v>
      </c>
      <c r="G1184" s="152">
        <v>5</v>
      </c>
    </row>
    <row r="1185" spans="1:7" ht="15.75" x14ac:dyDescent="0.3">
      <c r="A1185" s="148" t="s">
        <v>361</v>
      </c>
      <c r="B1185" s="149">
        <v>1136228</v>
      </c>
      <c r="C1185" s="148" t="s">
        <v>1421</v>
      </c>
      <c r="D1185" s="150">
        <v>117.02</v>
      </c>
      <c r="E1185" s="151" t="s">
        <v>9</v>
      </c>
      <c r="F1185" s="152">
        <v>1</v>
      </c>
      <c r="G1185" s="152">
        <v>5</v>
      </c>
    </row>
    <row r="1186" spans="1:7" ht="15.75" x14ac:dyDescent="0.3">
      <c r="A1186" s="148" t="s">
        <v>361</v>
      </c>
      <c r="B1186" s="149">
        <v>1136229</v>
      </c>
      <c r="C1186" s="148" t="s">
        <v>1422</v>
      </c>
      <c r="D1186" s="150">
        <v>126.63</v>
      </c>
      <c r="E1186" s="151" t="s">
        <v>9</v>
      </c>
      <c r="F1186" s="152">
        <v>1</v>
      </c>
      <c r="G1186" s="152">
        <v>5</v>
      </c>
    </row>
    <row r="1187" spans="1:7" ht="15.75" x14ac:dyDescent="0.3">
      <c r="A1187" s="148" t="s">
        <v>361</v>
      </c>
      <c r="B1187" s="149">
        <v>1136230</v>
      </c>
      <c r="C1187" s="148" t="s">
        <v>1423</v>
      </c>
      <c r="D1187" s="150">
        <v>138.69</v>
      </c>
      <c r="E1187" s="151" t="s">
        <v>9</v>
      </c>
      <c r="F1187" s="152">
        <v>1</v>
      </c>
      <c r="G1187" s="152">
        <v>5</v>
      </c>
    </row>
    <row r="1188" spans="1:7" ht="15.75" x14ac:dyDescent="0.3">
      <c r="A1188" s="148" t="s">
        <v>361</v>
      </c>
      <c r="B1188" s="149">
        <v>1093554</v>
      </c>
      <c r="C1188" s="148" t="s">
        <v>1424</v>
      </c>
      <c r="D1188" s="150">
        <v>34.28</v>
      </c>
      <c r="E1188" s="151" t="s">
        <v>9</v>
      </c>
      <c r="F1188" s="152">
        <v>1</v>
      </c>
      <c r="G1188" s="152">
        <v>200</v>
      </c>
    </row>
    <row r="1189" spans="1:7" ht="15.75" x14ac:dyDescent="0.3">
      <c r="A1189" s="148" t="s">
        <v>361</v>
      </c>
      <c r="B1189" s="149">
        <v>1093555</v>
      </c>
      <c r="C1189" s="148" t="s">
        <v>1425</v>
      </c>
      <c r="D1189" s="150">
        <v>7.98</v>
      </c>
      <c r="E1189" s="151" t="s">
        <v>9</v>
      </c>
      <c r="F1189" s="152">
        <v>1</v>
      </c>
      <c r="G1189" s="152">
        <v>200</v>
      </c>
    </row>
    <row r="1190" spans="1:7" ht="15.75" x14ac:dyDescent="0.3">
      <c r="A1190" s="148" t="s">
        <v>361</v>
      </c>
      <c r="B1190" s="149">
        <v>1046996</v>
      </c>
      <c r="C1190" s="148" t="s">
        <v>1426</v>
      </c>
      <c r="D1190" s="150">
        <v>198.6</v>
      </c>
      <c r="E1190" s="151" t="s">
        <v>9</v>
      </c>
      <c r="F1190" s="152">
        <v>1</v>
      </c>
      <c r="G1190" s="149"/>
    </row>
    <row r="1191" spans="1:7" ht="15.75" x14ac:dyDescent="0.3">
      <c r="A1191" s="148" t="s">
        <v>361</v>
      </c>
      <c r="B1191" s="149">
        <v>1046997</v>
      </c>
      <c r="C1191" s="148" t="s">
        <v>1427</v>
      </c>
      <c r="D1191" s="150">
        <v>243.24</v>
      </c>
      <c r="E1191" s="151" t="s">
        <v>9</v>
      </c>
      <c r="F1191" s="152">
        <v>1</v>
      </c>
      <c r="G1191" s="152">
        <v>10</v>
      </c>
    </row>
    <row r="1192" spans="1:7" ht="15.75" x14ac:dyDescent="0.3">
      <c r="A1192" s="148" t="s">
        <v>361</v>
      </c>
      <c r="B1192" s="149">
        <v>1046998</v>
      </c>
      <c r="C1192" s="148" t="s">
        <v>1428</v>
      </c>
      <c r="D1192" s="150">
        <v>258.91000000000003</v>
      </c>
      <c r="E1192" s="151" t="s">
        <v>9</v>
      </c>
      <c r="F1192" s="152">
        <v>1</v>
      </c>
      <c r="G1192" s="149"/>
    </row>
    <row r="1193" spans="1:7" ht="15.75" x14ac:dyDescent="0.3">
      <c r="A1193" s="148" t="s">
        <v>361</v>
      </c>
      <c r="B1193" s="149">
        <v>1046999</v>
      </c>
      <c r="C1193" s="148" t="s">
        <v>1429</v>
      </c>
      <c r="D1193" s="150">
        <v>289.14999999999998</v>
      </c>
      <c r="E1193" s="151" t="s">
        <v>9</v>
      </c>
      <c r="F1193" s="152">
        <v>1</v>
      </c>
      <c r="G1193" s="149"/>
    </row>
    <row r="1194" spans="1:7" ht="15.75" x14ac:dyDescent="0.3">
      <c r="A1194" s="148" t="s">
        <v>361</v>
      </c>
      <c r="B1194" s="149">
        <v>1060553</v>
      </c>
      <c r="C1194" s="148" t="s">
        <v>1430</v>
      </c>
      <c r="D1194" s="150">
        <v>303.70999999999998</v>
      </c>
      <c r="E1194" s="151" t="s">
        <v>9</v>
      </c>
      <c r="F1194" s="152">
        <v>1</v>
      </c>
      <c r="G1194" s="149"/>
    </row>
    <row r="1195" spans="1:7" ht="15.75" x14ac:dyDescent="0.3">
      <c r="A1195" s="148" t="s">
        <v>361</v>
      </c>
      <c r="B1195" s="149">
        <v>1060554</v>
      </c>
      <c r="C1195" s="148" t="s">
        <v>1431</v>
      </c>
      <c r="D1195" s="150">
        <v>499.93</v>
      </c>
      <c r="E1195" s="151" t="s">
        <v>9</v>
      </c>
      <c r="F1195" s="152">
        <v>1</v>
      </c>
      <c r="G1195" s="149"/>
    </row>
    <row r="1196" spans="1:7" ht="15.75" x14ac:dyDescent="0.3">
      <c r="A1196" s="148" t="s">
        <v>361</v>
      </c>
      <c r="B1196" s="149">
        <v>1060555</v>
      </c>
      <c r="C1196" s="148" t="s">
        <v>1432</v>
      </c>
      <c r="D1196" s="150">
        <v>462.88</v>
      </c>
      <c r="E1196" s="151" t="s">
        <v>9</v>
      </c>
      <c r="F1196" s="152">
        <v>1</v>
      </c>
      <c r="G1196" s="149"/>
    </row>
    <row r="1197" spans="1:7" ht="15.75" x14ac:dyDescent="0.3">
      <c r="A1197" s="148" t="s">
        <v>102</v>
      </c>
      <c r="B1197" s="149">
        <v>1087155</v>
      </c>
      <c r="C1197" s="148" t="s">
        <v>1433</v>
      </c>
      <c r="D1197" s="150">
        <v>1622.07</v>
      </c>
      <c r="E1197" s="151" t="s">
        <v>9</v>
      </c>
      <c r="F1197" s="152">
        <v>1</v>
      </c>
      <c r="G1197" s="152">
        <v>10</v>
      </c>
    </row>
    <row r="1198" spans="1:7" ht="15.75" x14ac:dyDescent="0.3">
      <c r="A1198" s="148" t="s">
        <v>102</v>
      </c>
      <c r="B1198" s="149">
        <v>1087158</v>
      </c>
      <c r="C1198" s="148" t="s">
        <v>1434</v>
      </c>
      <c r="D1198" s="150">
        <v>1717.51</v>
      </c>
      <c r="E1198" s="151" t="s">
        <v>68</v>
      </c>
      <c r="F1198" s="152">
        <v>1</v>
      </c>
      <c r="G1198" s="149"/>
    </row>
    <row r="1199" spans="1:7" ht="15.75" x14ac:dyDescent="0.3">
      <c r="A1199" s="148" t="s">
        <v>102</v>
      </c>
      <c r="B1199" s="149">
        <v>1087159</v>
      </c>
      <c r="C1199" s="148" t="s">
        <v>1435</v>
      </c>
      <c r="D1199" s="150">
        <v>98.59</v>
      </c>
      <c r="E1199" s="151" t="s">
        <v>9</v>
      </c>
      <c r="F1199" s="152">
        <v>1</v>
      </c>
      <c r="G1199" s="152">
        <v>10</v>
      </c>
    </row>
    <row r="1200" spans="1:7" ht="15.75" x14ac:dyDescent="0.3">
      <c r="A1200" s="148" t="s">
        <v>102</v>
      </c>
      <c r="B1200" s="149">
        <v>1087160</v>
      </c>
      <c r="C1200" s="148" t="s">
        <v>1436</v>
      </c>
      <c r="D1200" s="150">
        <v>402.65</v>
      </c>
      <c r="E1200" s="151" t="s">
        <v>9</v>
      </c>
      <c r="F1200" s="152">
        <v>1</v>
      </c>
      <c r="G1200" s="152">
        <v>75</v>
      </c>
    </row>
    <row r="1201" spans="1:7" ht="15.75" x14ac:dyDescent="0.3">
      <c r="A1201" s="148" t="s">
        <v>102</v>
      </c>
      <c r="B1201" s="149">
        <v>1087165</v>
      </c>
      <c r="C1201" s="148" t="s">
        <v>1437</v>
      </c>
      <c r="D1201" s="150">
        <v>389.01</v>
      </c>
      <c r="E1201" s="151" t="s">
        <v>68</v>
      </c>
      <c r="F1201" s="152">
        <v>1</v>
      </c>
      <c r="G1201" s="152">
        <v>10</v>
      </c>
    </row>
    <row r="1202" spans="1:7" ht="15.75" x14ac:dyDescent="0.3">
      <c r="A1202" s="148" t="s">
        <v>103</v>
      </c>
      <c r="B1202" s="149">
        <v>1071693</v>
      </c>
      <c r="C1202" s="148" t="s">
        <v>1438</v>
      </c>
      <c r="D1202" s="150">
        <v>510.47</v>
      </c>
      <c r="E1202" s="151" t="s">
        <v>68</v>
      </c>
      <c r="F1202" s="152">
        <v>1</v>
      </c>
      <c r="G1202" s="152">
        <v>4</v>
      </c>
    </row>
    <row r="1203" spans="1:7" ht="15.75" x14ac:dyDescent="0.3">
      <c r="A1203" s="148" t="s">
        <v>103</v>
      </c>
      <c r="B1203" s="149">
        <v>1071676</v>
      </c>
      <c r="C1203" s="148" t="s">
        <v>1439</v>
      </c>
      <c r="D1203" s="150">
        <v>83.64</v>
      </c>
      <c r="E1203" s="151" t="s">
        <v>9</v>
      </c>
      <c r="F1203" s="152">
        <v>1</v>
      </c>
      <c r="G1203" s="152">
        <v>21</v>
      </c>
    </row>
    <row r="1204" spans="1:7" ht="15.75" x14ac:dyDescent="0.3">
      <c r="A1204" s="148" t="s">
        <v>103</v>
      </c>
      <c r="B1204" s="149">
        <v>1071661</v>
      </c>
      <c r="C1204" s="148" t="s">
        <v>1440</v>
      </c>
      <c r="D1204" s="150">
        <v>20.43</v>
      </c>
      <c r="E1204" s="151" t="s">
        <v>9</v>
      </c>
      <c r="F1204" s="152">
        <v>1</v>
      </c>
      <c r="G1204" s="152">
        <v>63</v>
      </c>
    </row>
    <row r="1205" spans="1:7" ht="15.75" x14ac:dyDescent="0.3">
      <c r="A1205" s="148" t="s">
        <v>362</v>
      </c>
      <c r="B1205" s="149">
        <v>1002357</v>
      </c>
      <c r="C1205" s="148" t="s">
        <v>1441</v>
      </c>
      <c r="D1205" s="150">
        <v>306.27</v>
      </c>
      <c r="E1205" s="151" t="s">
        <v>9</v>
      </c>
      <c r="F1205" s="152">
        <v>1</v>
      </c>
      <c r="G1205" s="149"/>
    </row>
    <row r="1206" spans="1:7" ht="15.75" x14ac:dyDescent="0.3">
      <c r="A1206" s="148" t="s">
        <v>103</v>
      </c>
      <c r="B1206" s="149">
        <v>1071671</v>
      </c>
      <c r="C1206" s="148" t="s">
        <v>1442</v>
      </c>
      <c r="D1206" s="150">
        <v>54.45</v>
      </c>
      <c r="E1206" s="151" t="s">
        <v>9</v>
      </c>
      <c r="F1206" s="152">
        <v>1</v>
      </c>
      <c r="G1206" s="152">
        <v>45</v>
      </c>
    </row>
    <row r="1207" spans="1:7" ht="15.75" x14ac:dyDescent="0.3">
      <c r="A1207" s="148" t="s">
        <v>70</v>
      </c>
      <c r="B1207" s="149">
        <v>1005675</v>
      </c>
      <c r="C1207" s="148" t="s">
        <v>1443</v>
      </c>
      <c r="D1207" s="150">
        <v>69.38</v>
      </c>
      <c r="E1207" s="151" t="s">
        <v>68</v>
      </c>
      <c r="F1207" s="152">
        <v>1</v>
      </c>
      <c r="G1207" s="152">
        <v>50</v>
      </c>
    </row>
    <row r="1208" spans="1:7" ht="15.75" x14ac:dyDescent="0.3">
      <c r="A1208" s="148" t="s">
        <v>362</v>
      </c>
      <c r="B1208" s="149">
        <v>1008497</v>
      </c>
      <c r="C1208" s="148" t="s">
        <v>1444</v>
      </c>
      <c r="D1208" s="150">
        <v>13.83</v>
      </c>
      <c r="E1208" s="151" t="s">
        <v>9</v>
      </c>
      <c r="F1208" s="152">
        <v>200</v>
      </c>
      <c r="G1208" s="152">
        <v>200</v>
      </c>
    </row>
    <row r="1209" spans="1:7" ht="15.75" x14ac:dyDescent="0.3">
      <c r="A1209" s="148" t="s">
        <v>362</v>
      </c>
      <c r="B1209" s="149">
        <v>1078304</v>
      </c>
      <c r="C1209" s="148" t="s">
        <v>1445</v>
      </c>
      <c r="D1209" s="150">
        <v>866.21</v>
      </c>
      <c r="E1209" s="151" t="s">
        <v>9</v>
      </c>
      <c r="F1209" s="152">
        <v>1</v>
      </c>
      <c r="G1209" s="152">
        <v>55</v>
      </c>
    </row>
    <row r="1210" spans="1:7" ht="15.75" x14ac:dyDescent="0.3">
      <c r="A1210" s="148" t="s">
        <v>362</v>
      </c>
      <c r="B1210" s="149">
        <v>1078306</v>
      </c>
      <c r="C1210" s="148" t="s">
        <v>1446</v>
      </c>
      <c r="D1210" s="150">
        <v>1698.3</v>
      </c>
      <c r="E1210" s="151" t="s">
        <v>9</v>
      </c>
      <c r="F1210" s="152">
        <v>1</v>
      </c>
      <c r="G1210" s="152">
        <v>30</v>
      </c>
    </row>
    <row r="1211" spans="1:7" ht="15.75" x14ac:dyDescent="0.3">
      <c r="A1211" s="148" t="s">
        <v>362</v>
      </c>
      <c r="B1211" s="149">
        <v>1119443</v>
      </c>
      <c r="C1211" s="148" t="s">
        <v>1447</v>
      </c>
      <c r="D1211" s="150">
        <v>937.46</v>
      </c>
      <c r="E1211" s="151" t="s">
        <v>9</v>
      </c>
      <c r="F1211" s="152">
        <v>1</v>
      </c>
      <c r="G1211" s="152">
        <v>55</v>
      </c>
    </row>
    <row r="1212" spans="1:7" ht="15.75" x14ac:dyDescent="0.3">
      <c r="A1212" s="148" t="s">
        <v>362</v>
      </c>
      <c r="B1212" s="149">
        <v>1119445</v>
      </c>
      <c r="C1212" s="148" t="s">
        <v>1448</v>
      </c>
      <c r="D1212" s="150">
        <v>1874.93</v>
      </c>
      <c r="E1212" s="151" t="s">
        <v>9</v>
      </c>
      <c r="F1212" s="152">
        <v>1</v>
      </c>
      <c r="G1212" s="152">
        <v>18</v>
      </c>
    </row>
    <row r="1213" spans="1:7" ht="15.75" x14ac:dyDescent="0.3">
      <c r="A1213" s="148" t="s">
        <v>103</v>
      </c>
      <c r="B1213" s="149">
        <v>1119812</v>
      </c>
      <c r="C1213" s="148" t="s">
        <v>1449</v>
      </c>
      <c r="D1213" s="150">
        <v>382.13</v>
      </c>
      <c r="E1213" s="151" t="s">
        <v>9</v>
      </c>
      <c r="F1213" s="152">
        <v>1</v>
      </c>
      <c r="G1213" s="152">
        <v>10</v>
      </c>
    </row>
    <row r="1214" spans="1:7" ht="15.75" x14ac:dyDescent="0.3">
      <c r="A1214" s="148" t="s">
        <v>362</v>
      </c>
      <c r="B1214" s="149">
        <v>1078310</v>
      </c>
      <c r="C1214" s="148" t="s">
        <v>1450</v>
      </c>
      <c r="D1214" s="150">
        <v>3301.9</v>
      </c>
      <c r="E1214" s="151" t="s">
        <v>9</v>
      </c>
      <c r="F1214" s="152">
        <v>1</v>
      </c>
      <c r="G1214" s="152">
        <v>8</v>
      </c>
    </row>
    <row r="1215" spans="1:7" ht="15.75" x14ac:dyDescent="0.3">
      <c r="A1215" s="148" t="s">
        <v>362</v>
      </c>
      <c r="B1215" s="149">
        <v>1136372</v>
      </c>
      <c r="C1215" s="148" t="s">
        <v>1451</v>
      </c>
      <c r="D1215" s="150">
        <v>81.010000000000005</v>
      </c>
      <c r="E1215" s="151" t="s">
        <v>9</v>
      </c>
      <c r="F1215" s="152">
        <v>1</v>
      </c>
      <c r="G1215" s="152">
        <v>105</v>
      </c>
    </row>
    <row r="1216" spans="1:7" ht="15.75" x14ac:dyDescent="0.3">
      <c r="A1216" s="148" t="s">
        <v>362</v>
      </c>
      <c r="B1216" s="149">
        <v>1136373</v>
      </c>
      <c r="C1216" s="148" t="s">
        <v>1452</v>
      </c>
      <c r="D1216" s="150">
        <v>87.76</v>
      </c>
      <c r="E1216" s="151" t="s">
        <v>9</v>
      </c>
      <c r="F1216" s="152">
        <v>1</v>
      </c>
      <c r="G1216" s="152">
        <v>105</v>
      </c>
    </row>
    <row r="1217" spans="1:8" ht="15.75" x14ac:dyDescent="0.3">
      <c r="A1217" s="148" t="s">
        <v>362</v>
      </c>
      <c r="B1217" s="149">
        <v>1136374</v>
      </c>
      <c r="C1217" s="148" t="s">
        <v>1453</v>
      </c>
      <c r="D1217" s="150">
        <v>66.31</v>
      </c>
      <c r="E1217" s="151" t="s">
        <v>9</v>
      </c>
      <c r="F1217" s="152">
        <v>1</v>
      </c>
      <c r="G1217" s="152">
        <v>105</v>
      </c>
    </row>
    <row r="1218" spans="1:8" ht="15.75" x14ac:dyDescent="0.3">
      <c r="A1218" s="148" t="s">
        <v>362</v>
      </c>
      <c r="B1218" s="149">
        <v>1136375</v>
      </c>
      <c r="C1218" s="148" t="s">
        <v>1454</v>
      </c>
      <c r="D1218" s="150">
        <v>70.02</v>
      </c>
      <c r="E1218" s="151" t="s">
        <v>9</v>
      </c>
      <c r="F1218" s="152">
        <v>1</v>
      </c>
      <c r="G1218" s="152">
        <v>105</v>
      </c>
    </row>
    <row r="1219" spans="1:8" ht="15.75" x14ac:dyDescent="0.3">
      <c r="A1219" s="148" t="s">
        <v>362</v>
      </c>
      <c r="B1219" s="149">
        <v>1136376</v>
      </c>
      <c r="C1219" s="148" t="s">
        <v>1455</v>
      </c>
      <c r="D1219" s="150">
        <v>78.94</v>
      </c>
      <c r="E1219" s="151" t="s">
        <v>9</v>
      </c>
      <c r="F1219" s="152">
        <v>1</v>
      </c>
      <c r="G1219" s="152">
        <v>105</v>
      </c>
    </row>
    <row r="1220" spans="1:8" ht="15.75" x14ac:dyDescent="0.3">
      <c r="A1220" s="148" t="s">
        <v>362</v>
      </c>
      <c r="B1220" s="149">
        <v>1136377</v>
      </c>
      <c r="C1220" s="148" t="s">
        <v>1456</v>
      </c>
      <c r="D1220" s="150">
        <v>50.87</v>
      </c>
      <c r="E1220" s="151" t="s">
        <v>9</v>
      </c>
      <c r="F1220" s="152">
        <v>1</v>
      </c>
      <c r="G1220" s="152">
        <v>105</v>
      </c>
    </row>
    <row r="1221" spans="1:8" ht="15.75" x14ac:dyDescent="0.3">
      <c r="A1221" s="148" t="s">
        <v>362</v>
      </c>
      <c r="B1221" s="149">
        <v>1136378</v>
      </c>
      <c r="C1221" s="148" t="s">
        <v>1457</v>
      </c>
      <c r="D1221" s="150">
        <v>52.61</v>
      </c>
      <c r="E1221" s="151" t="s">
        <v>9</v>
      </c>
      <c r="F1221" s="152">
        <v>1</v>
      </c>
      <c r="G1221" s="152">
        <v>105</v>
      </c>
    </row>
    <row r="1222" spans="1:8" ht="15.75" x14ac:dyDescent="0.3">
      <c r="A1222" s="148" t="s">
        <v>362</v>
      </c>
      <c r="B1222" s="149">
        <v>1136379</v>
      </c>
      <c r="C1222" s="148" t="s">
        <v>1458</v>
      </c>
      <c r="D1222" s="150">
        <v>51.18</v>
      </c>
      <c r="E1222" s="151" t="s">
        <v>9</v>
      </c>
      <c r="F1222" s="152">
        <v>1</v>
      </c>
      <c r="G1222" s="152">
        <v>140</v>
      </c>
      <c r="H1222" s="137">
        <f>D1222*0.6</f>
        <v>30.707999999999998</v>
      </c>
    </row>
    <row r="1223" spans="1:8" ht="15.75" x14ac:dyDescent="0.3">
      <c r="A1223" s="148" t="s">
        <v>104</v>
      </c>
      <c r="B1223" s="149">
        <v>1093284</v>
      </c>
      <c r="C1223" s="148" t="s">
        <v>1459</v>
      </c>
      <c r="D1223" s="150">
        <v>1526.94</v>
      </c>
      <c r="E1223" s="151" t="s">
        <v>68</v>
      </c>
      <c r="F1223" s="152">
        <v>1</v>
      </c>
      <c r="G1223" s="152">
        <v>3</v>
      </c>
    </row>
    <row r="1224" spans="1:8" ht="15.75" x14ac:dyDescent="0.3">
      <c r="A1224" s="148" t="s">
        <v>104</v>
      </c>
      <c r="B1224" s="149">
        <v>1093287</v>
      </c>
      <c r="C1224" s="148" t="s">
        <v>1460</v>
      </c>
      <c r="D1224" s="150">
        <v>2145.8000000000002</v>
      </c>
      <c r="E1224" s="151" t="s">
        <v>68</v>
      </c>
      <c r="F1224" s="152">
        <v>1</v>
      </c>
      <c r="G1224" s="152">
        <v>2</v>
      </c>
    </row>
    <row r="1225" spans="1:8" ht="15.75" x14ac:dyDescent="0.3">
      <c r="A1225" s="148" t="s">
        <v>104</v>
      </c>
      <c r="B1225" s="149">
        <v>1093030</v>
      </c>
      <c r="C1225" s="148" t="s">
        <v>105</v>
      </c>
      <c r="D1225" s="150">
        <v>825.87</v>
      </c>
      <c r="E1225" s="151" t="s">
        <v>9</v>
      </c>
      <c r="F1225" s="152">
        <v>1</v>
      </c>
      <c r="G1225" s="152">
        <v>16</v>
      </c>
    </row>
    <row r="1226" spans="1:8" ht="15.75" x14ac:dyDescent="0.3">
      <c r="A1226" s="148" t="s">
        <v>104</v>
      </c>
      <c r="B1226" s="149">
        <v>1093021</v>
      </c>
      <c r="C1226" s="148" t="s">
        <v>1461</v>
      </c>
      <c r="D1226" s="150">
        <v>381.26</v>
      </c>
      <c r="E1226" s="151" t="s">
        <v>9</v>
      </c>
      <c r="F1226" s="152">
        <v>1</v>
      </c>
      <c r="G1226" s="152">
        <v>4</v>
      </c>
    </row>
    <row r="1227" spans="1:8" ht="15.75" x14ac:dyDescent="0.3">
      <c r="A1227" s="148" t="s">
        <v>104</v>
      </c>
      <c r="B1227" s="149">
        <v>1093133</v>
      </c>
      <c r="C1227" s="148" t="s">
        <v>1462</v>
      </c>
      <c r="D1227" s="150">
        <v>95.34</v>
      </c>
      <c r="E1227" s="151" t="s">
        <v>9</v>
      </c>
      <c r="F1227" s="152">
        <v>1</v>
      </c>
      <c r="G1227" s="152">
        <v>16</v>
      </c>
    </row>
    <row r="1228" spans="1:8" ht="15.75" x14ac:dyDescent="0.3">
      <c r="A1228" s="148" t="s">
        <v>104</v>
      </c>
      <c r="B1228" s="149">
        <v>1093028</v>
      </c>
      <c r="C1228" s="148" t="s">
        <v>1463</v>
      </c>
      <c r="D1228" s="150">
        <v>76.42</v>
      </c>
      <c r="E1228" s="151" t="s">
        <v>9</v>
      </c>
      <c r="F1228" s="152">
        <v>1</v>
      </c>
      <c r="G1228" s="152">
        <v>16</v>
      </c>
    </row>
    <row r="1229" spans="1:8" ht="15.75" x14ac:dyDescent="0.3">
      <c r="A1229" s="148" t="s">
        <v>104</v>
      </c>
      <c r="B1229" s="149">
        <v>1071673</v>
      </c>
      <c r="C1229" s="148" t="s">
        <v>1464</v>
      </c>
      <c r="D1229" s="150">
        <v>105.01</v>
      </c>
      <c r="E1229" s="151" t="s">
        <v>9</v>
      </c>
      <c r="F1229" s="152">
        <v>1</v>
      </c>
      <c r="G1229" s="152">
        <v>16</v>
      </c>
    </row>
    <row r="1230" spans="1:8" ht="15.75" x14ac:dyDescent="0.3">
      <c r="A1230" s="148" t="s">
        <v>104</v>
      </c>
      <c r="B1230" s="149">
        <v>1087816</v>
      </c>
      <c r="C1230" s="148" t="s">
        <v>1465</v>
      </c>
      <c r="D1230" s="150">
        <v>153.94</v>
      </c>
      <c r="E1230" s="151" t="s">
        <v>9</v>
      </c>
      <c r="F1230" s="152">
        <v>1</v>
      </c>
      <c r="G1230" s="152">
        <v>180</v>
      </c>
    </row>
    <row r="1231" spans="1:8" ht="15.75" x14ac:dyDescent="0.3">
      <c r="A1231" s="148" t="s">
        <v>104</v>
      </c>
      <c r="B1231" s="149">
        <v>1087817</v>
      </c>
      <c r="C1231" s="148" t="s">
        <v>1466</v>
      </c>
      <c r="D1231" s="150">
        <v>153.94</v>
      </c>
      <c r="E1231" s="151" t="s">
        <v>9</v>
      </c>
      <c r="F1231" s="152">
        <v>1</v>
      </c>
      <c r="G1231" s="152">
        <v>180</v>
      </c>
    </row>
    <row r="1232" spans="1:8" ht="15.75" x14ac:dyDescent="0.3">
      <c r="A1232" s="148" t="s">
        <v>104</v>
      </c>
      <c r="B1232" s="149">
        <v>1087815</v>
      </c>
      <c r="C1232" s="148" t="s">
        <v>1467</v>
      </c>
      <c r="D1232" s="150">
        <v>93.4</v>
      </c>
      <c r="E1232" s="151" t="s">
        <v>9</v>
      </c>
      <c r="F1232" s="152">
        <v>1</v>
      </c>
      <c r="G1232" s="152">
        <v>180</v>
      </c>
    </row>
    <row r="1233" spans="1:7" ht="15.75" x14ac:dyDescent="0.3">
      <c r="A1233" s="148" t="s">
        <v>104</v>
      </c>
      <c r="B1233" s="149">
        <v>1086984</v>
      </c>
      <c r="C1233" s="148" t="s">
        <v>1468</v>
      </c>
      <c r="D1233" s="150">
        <v>122.5</v>
      </c>
      <c r="E1233" s="151" t="s">
        <v>9</v>
      </c>
      <c r="F1233" s="152">
        <v>1</v>
      </c>
      <c r="G1233" s="152">
        <v>75</v>
      </c>
    </row>
    <row r="1234" spans="1:7" ht="15.75" x14ac:dyDescent="0.3">
      <c r="A1234" s="148" t="s">
        <v>104</v>
      </c>
      <c r="B1234" s="149">
        <v>1086979</v>
      </c>
      <c r="C1234" s="148" t="s">
        <v>1469</v>
      </c>
      <c r="D1234" s="150">
        <v>78.09</v>
      </c>
      <c r="E1234" s="151" t="s">
        <v>9</v>
      </c>
      <c r="F1234" s="152">
        <v>1</v>
      </c>
      <c r="G1234" s="152">
        <v>75</v>
      </c>
    </row>
    <row r="1235" spans="1:7" ht="15.75" x14ac:dyDescent="0.3">
      <c r="A1235" s="148" t="s">
        <v>104</v>
      </c>
      <c r="B1235" s="149">
        <v>1071660</v>
      </c>
      <c r="C1235" s="148" t="s">
        <v>0</v>
      </c>
      <c r="D1235" s="150">
        <v>183.5</v>
      </c>
      <c r="E1235" s="151" t="s">
        <v>9</v>
      </c>
      <c r="F1235" s="152">
        <v>1</v>
      </c>
      <c r="G1235" s="152">
        <v>16</v>
      </c>
    </row>
    <row r="1236" spans="1:7" ht="15.75" x14ac:dyDescent="0.3">
      <c r="A1236" s="148" t="s">
        <v>107</v>
      </c>
      <c r="B1236" s="149">
        <v>1093280</v>
      </c>
      <c r="C1236" s="148" t="s">
        <v>1470</v>
      </c>
      <c r="D1236" s="150">
        <v>1499.67</v>
      </c>
      <c r="E1236" s="151" t="s">
        <v>68</v>
      </c>
      <c r="F1236" s="152">
        <v>1</v>
      </c>
      <c r="G1236" s="152">
        <v>3</v>
      </c>
    </row>
    <row r="1237" spans="1:7" ht="15.75" x14ac:dyDescent="0.3">
      <c r="A1237" s="148" t="s">
        <v>107</v>
      </c>
      <c r="B1237" s="149">
        <v>1093282</v>
      </c>
      <c r="C1237" s="148" t="s">
        <v>1471</v>
      </c>
      <c r="D1237" s="150">
        <v>2025.7</v>
      </c>
      <c r="E1237" s="151" t="s">
        <v>68</v>
      </c>
      <c r="F1237" s="152">
        <v>1</v>
      </c>
      <c r="G1237" s="152">
        <v>2</v>
      </c>
    </row>
    <row r="1238" spans="1:7" ht="15.75" x14ac:dyDescent="0.3">
      <c r="A1238" s="148" t="s">
        <v>107</v>
      </c>
      <c r="B1238" s="149">
        <v>1093017</v>
      </c>
      <c r="C1238" s="148" t="s">
        <v>1472</v>
      </c>
      <c r="D1238" s="150">
        <v>310.33</v>
      </c>
      <c r="E1238" s="151" t="s">
        <v>9</v>
      </c>
      <c r="F1238" s="152">
        <v>1</v>
      </c>
      <c r="G1238" s="152">
        <v>4</v>
      </c>
    </row>
    <row r="1239" spans="1:7" ht="15.75" x14ac:dyDescent="0.3">
      <c r="A1239" s="148" t="s">
        <v>107</v>
      </c>
      <c r="B1239" s="149">
        <v>1093134</v>
      </c>
      <c r="C1239" s="148" t="s">
        <v>1473</v>
      </c>
      <c r="D1239" s="150">
        <v>101.48</v>
      </c>
      <c r="E1239" s="151" t="s">
        <v>9</v>
      </c>
      <c r="F1239" s="152">
        <v>1</v>
      </c>
      <c r="G1239" s="152">
        <v>16</v>
      </c>
    </row>
    <row r="1240" spans="1:7" ht="15.75" x14ac:dyDescent="0.3">
      <c r="A1240" s="148" t="s">
        <v>107</v>
      </c>
      <c r="B1240" s="149">
        <v>1093135</v>
      </c>
      <c r="C1240" s="148" t="s">
        <v>1474</v>
      </c>
      <c r="D1240" s="150">
        <v>81.11</v>
      </c>
      <c r="E1240" s="151" t="s">
        <v>9</v>
      </c>
      <c r="F1240" s="152">
        <v>1</v>
      </c>
      <c r="G1240" s="152">
        <v>16</v>
      </c>
    </row>
    <row r="1241" spans="1:7" ht="15.75" x14ac:dyDescent="0.3">
      <c r="A1241" s="148" t="s">
        <v>107</v>
      </c>
      <c r="B1241" s="149">
        <v>1087813</v>
      </c>
      <c r="C1241" s="148" t="s">
        <v>1475</v>
      </c>
      <c r="D1241" s="150">
        <v>142.84</v>
      </c>
      <c r="E1241" s="151" t="s">
        <v>9</v>
      </c>
      <c r="F1241" s="152">
        <v>1</v>
      </c>
      <c r="G1241" s="152">
        <v>180</v>
      </c>
    </row>
    <row r="1242" spans="1:7" ht="15.75" x14ac:dyDescent="0.3">
      <c r="A1242" s="148" t="s">
        <v>107</v>
      </c>
      <c r="B1242" s="149">
        <v>1087814</v>
      </c>
      <c r="C1242" s="148" t="s">
        <v>1476</v>
      </c>
      <c r="D1242" s="150">
        <v>142.84</v>
      </c>
      <c r="E1242" s="151" t="s">
        <v>9</v>
      </c>
      <c r="F1242" s="152">
        <v>1</v>
      </c>
      <c r="G1242" s="152">
        <v>180</v>
      </c>
    </row>
    <row r="1243" spans="1:7" ht="15.75" x14ac:dyDescent="0.3">
      <c r="A1243" s="148" t="s">
        <v>107</v>
      </c>
      <c r="B1243" s="149">
        <v>1086977</v>
      </c>
      <c r="C1243" s="148" t="s">
        <v>1477</v>
      </c>
      <c r="D1243" s="150">
        <v>110.61</v>
      </c>
      <c r="E1243" s="151" t="s">
        <v>9</v>
      </c>
      <c r="F1243" s="152">
        <v>1</v>
      </c>
      <c r="G1243" s="152">
        <v>75</v>
      </c>
    </row>
    <row r="1244" spans="1:7" ht="15.75" x14ac:dyDescent="0.3">
      <c r="A1244" s="148" t="s">
        <v>107</v>
      </c>
      <c r="B1244" s="149">
        <v>1086972</v>
      </c>
      <c r="C1244" s="148" t="s">
        <v>1478</v>
      </c>
      <c r="D1244" s="150">
        <v>54.95</v>
      </c>
      <c r="E1244" s="151" t="s">
        <v>9</v>
      </c>
      <c r="F1244" s="152">
        <v>1</v>
      </c>
      <c r="G1244" s="152">
        <v>75</v>
      </c>
    </row>
    <row r="1245" spans="1:7" ht="15.75" x14ac:dyDescent="0.3">
      <c r="A1245" s="148" t="s">
        <v>107</v>
      </c>
      <c r="B1245" s="149">
        <v>1087821</v>
      </c>
      <c r="C1245" s="148" t="s">
        <v>1854</v>
      </c>
      <c r="D1245" s="150">
        <v>9.4499999999999993</v>
      </c>
      <c r="E1245" s="151" t="s">
        <v>9</v>
      </c>
      <c r="F1245" s="152">
        <v>1</v>
      </c>
      <c r="G1245" s="152">
        <v>90</v>
      </c>
    </row>
    <row r="1246" spans="1:7" ht="15.75" x14ac:dyDescent="0.3">
      <c r="A1246" s="148" t="s">
        <v>107</v>
      </c>
      <c r="B1246" s="149">
        <v>1087822</v>
      </c>
      <c r="C1246" s="148" t="s">
        <v>1855</v>
      </c>
      <c r="D1246" s="150">
        <v>9.4499999999999993</v>
      </c>
      <c r="E1246" s="151" t="s">
        <v>9</v>
      </c>
      <c r="F1246" s="152">
        <v>1</v>
      </c>
      <c r="G1246" s="152">
        <v>90</v>
      </c>
    </row>
    <row r="1247" spans="1:7" ht="15.75" x14ac:dyDescent="0.3">
      <c r="A1247" s="148" t="s">
        <v>107</v>
      </c>
      <c r="B1247" s="149">
        <v>1071670</v>
      </c>
      <c r="C1247" s="148" t="s">
        <v>1479</v>
      </c>
      <c r="D1247" s="150">
        <v>231.39</v>
      </c>
      <c r="E1247" s="151" t="s">
        <v>9</v>
      </c>
      <c r="F1247" s="152">
        <v>1</v>
      </c>
      <c r="G1247" s="152">
        <v>2</v>
      </c>
    </row>
    <row r="1248" spans="1:7" ht="15.75" x14ac:dyDescent="0.3">
      <c r="A1248" s="148" t="s">
        <v>106</v>
      </c>
      <c r="B1248" s="149">
        <v>1087162</v>
      </c>
      <c r="C1248" s="148" t="s">
        <v>1</v>
      </c>
      <c r="D1248" s="150">
        <v>436.24</v>
      </c>
      <c r="E1248" s="151" t="s">
        <v>9</v>
      </c>
      <c r="F1248" s="152">
        <v>1</v>
      </c>
      <c r="G1248" s="152">
        <v>4</v>
      </c>
    </row>
    <row r="1249" spans="1:7" ht="15.75" x14ac:dyDescent="0.3">
      <c r="A1249" s="148" t="s">
        <v>106</v>
      </c>
      <c r="B1249" s="149">
        <v>1120013</v>
      </c>
      <c r="C1249" s="148" t="s">
        <v>1480</v>
      </c>
      <c r="D1249" s="150">
        <v>436.24</v>
      </c>
      <c r="E1249" s="151" t="s">
        <v>9</v>
      </c>
      <c r="F1249" s="152">
        <v>1</v>
      </c>
      <c r="G1249" s="152">
        <v>4</v>
      </c>
    </row>
    <row r="1250" spans="1:7" ht="15.75" x14ac:dyDescent="0.3">
      <c r="A1250" s="148" t="s">
        <v>106</v>
      </c>
      <c r="B1250" s="149">
        <v>1071686</v>
      </c>
      <c r="C1250" s="148" t="s">
        <v>1481</v>
      </c>
      <c r="D1250" s="150">
        <v>102.09</v>
      </c>
      <c r="E1250" s="151" t="s">
        <v>9</v>
      </c>
      <c r="F1250" s="152">
        <v>1</v>
      </c>
      <c r="G1250" s="152">
        <v>16</v>
      </c>
    </row>
    <row r="1251" spans="1:7" ht="15.75" x14ac:dyDescent="0.3">
      <c r="A1251" s="148" t="s">
        <v>106</v>
      </c>
      <c r="B1251" s="149">
        <v>1071651</v>
      </c>
      <c r="C1251" s="148" t="s">
        <v>1482</v>
      </c>
      <c r="D1251" s="150">
        <v>81.88</v>
      </c>
      <c r="E1251" s="151" t="s">
        <v>9</v>
      </c>
      <c r="F1251" s="152">
        <v>1</v>
      </c>
      <c r="G1251" s="152">
        <v>16</v>
      </c>
    </row>
    <row r="1252" spans="1:7" ht="15.75" x14ac:dyDescent="0.3">
      <c r="A1252" s="148" t="s">
        <v>106</v>
      </c>
      <c r="B1252" s="149">
        <v>1087161</v>
      </c>
      <c r="C1252" s="148" t="s">
        <v>1483</v>
      </c>
      <c r="D1252" s="150">
        <v>590.57000000000005</v>
      </c>
      <c r="E1252" s="151" t="s">
        <v>9</v>
      </c>
      <c r="F1252" s="152">
        <v>1</v>
      </c>
      <c r="G1252" s="152">
        <v>7</v>
      </c>
    </row>
    <row r="1253" spans="1:7" ht="15.75" x14ac:dyDescent="0.3">
      <c r="A1253" s="148" t="s">
        <v>107</v>
      </c>
      <c r="B1253" s="149">
        <v>1087812</v>
      </c>
      <c r="C1253" s="148" t="s">
        <v>1484</v>
      </c>
      <c r="D1253" s="150">
        <v>82.66</v>
      </c>
      <c r="E1253" s="151" t="s">
        <v>9</v>
      </c>
      <c r="F1253" s="152">
        <v>1</v>
      </c>
      <c r="G1253" s="152">
        <v>180</v>
      </c>
    </row>
    <row r="1254" spans="1:7" ht="15.75" x14ac:dyDescent="0.3">
      <c r="A1254" s="148" t="s">
        <v>107</v>
      </c>
      <c r="B1254" s="149">
        <v>1122237</v>
      </c>
      <c r="C1254" s="148" t="s">
        <v>1485</v>
      </c>
      <c r="D1254" s="150">
        <v>3.77</v>
      </c>
      <c r="E1254" s="151" t="s">
        <v>9</v>
      </c>
      <c r="F1254" s="152">
        <v>1</v>
      </c>
      <c r="G1254" s="152">
        <v>20</v>
      </c>
    </row>
    <row r="1255" spans="1:7" ht="15.75" x14ac:dyDescent="0.3">
      <c r="A1255" s="148" t="s">
        <v>106</v>
      </c>
      <c r="B1255" s="149">
        <v>1087164</v>
      </c>
      <c r="C1255" s="148" t="s">
        <v>1486</v>
      </c>
      <c r="D1255" s="150">
        <v>565.17999999999995</v>
      </c>
      <c r="E1255" s="151" t="s">
        <v>9</v>
      </c>
      <c r="F1255" s="152">
        <v>1</v>
      </c>
      <c r="G1255" s="149"/>
    </row>
    <row r="1256" spans="1:7" ht="15.75" x14ac:dyDescent="0.3">
      <c r="A1256" s="148" t="s">
        <v>108</v>
      </c>
      <c r="B1256" s="149">
        <v>1058426</v>
      </c>
      <c r="C1256" s="148" t="s">
        <v>1487</v>
      </c>
      <c r="D1256" s="150">
        <v>150.11000000000001</v>
      </c>
      <c r="E1256" s="151" t="s">
        <v>9</v>
      </c>
      <c r="F1256" s="152">
        <v>1</v>
      </c>
      <c r="G1256" s="152">
        <v>200</v>
      </c>
    </row>
    <row r="1257" spans="1:7" ht="15.75" x14ac:dyDescent="0.3">
      <c r="A1257" s="148" t="s">
        <v>108</v>
      </c>
      <c r="B1257" s="149">
        <v>1058422</v>
      </c>
      <c r="C1257" s="148" t="s">
        <v>1488</v>
      </c>
      <c r="D1257" s="150">
        <v>40.99</v>
      </c>
      <c r="E1257" s="151" t="s">
        <v>9</v>
      </c>
      <c r="F1257" s="152">
        <v>1</v>
      </c>
      <c r="G1257" s="152">
        <v>160</v>
      </c>
    </row>
    <row r="1258" spans="1:7" ht="15.75" x14ac:dyDescent="0.3">
      <c r="A1258" s="148" t="s">
        <v>108</v>
      </c>
      <c r="B1258" s="149">
        <v>1120075</v>
      </c>
      <c r="C1258" s="148" t="s">
        <v>1489</v>
      </c>
      <c r="D1258" s="150">
        <v>94.05</v>
      </c>
      <c r="E1258" s="151" t="s">
        <v>9</v>
      </c>
      <c r="F1258" s="152">
        <v>1</v>
      </c>
      <c r="G1258" s="152">
        <v>75</v>
      </c>
    </row>
    <row r="1259" spans="1:7" ht="15.75" x14ac:dyDescent="0.3">
      <c r="A1259" s="148" t="s">
        <v>108</v>
      </c>
      <c r="B1259" s="149">
        <v>1058425</v>
      </c>
      <c r="C1259" s="148" t="s">
        <v>1490</v>
      </c>
      <c r="D1259" s="150">
        <v>184.16</v>
      </c>
      <c r="E1259" s="151" t="s">
        <v>9</v>
      </c>
      <c r="F1259" s="152">
        <v>1</v>
      </c>
      <c r="G1259" s="149"/>
    </row>
    <row r="1260" spans="1:7" ht="15.75" x14ac:dyDescent="0.3">
      <c r="A1260" s="148" t="s">
        <v>108</v>
      </c>
      <c r="B1260" s="149">
        <v>1047459</v>
      </c>
      <c r="C1260" s="148" t="s">
        <v>1491</v>
      </c>
      <c r="D1260" s="150">
        <v>29</v>
      </c>
      <c r="E1260" s="151" t="s">
        <v>9</v>
      </c>
      <c r="F1260" s="152">
        <v>1</v>
      </c>
      <c r="G1260" s="149"/>
    </row>
    <row r="1261" spans="1:7" ht="15.75" x14ac:dyDescent="0.3">
      <c r="A1261" s="148" t="s">
        <v>109</v>
      </c>
      <c r="B1261" s="149">
        <v>1083575</v>
      </c>
      <c r="C1261" s="148" t="s">
        <v>1492</v>
      </c>
      <c r="D1261" s="150">
        <v>49.48</v>
      </c>
      <c r="E1261" s="151" t="s">
        <v>68</v>
      </c>
      <c r="F1261" s="152">
        <v>1</v>
      </c>
      <c r="G1261" s="152">
        <v>100</v>
      </c>
    </row>
    <row r="1262" spans="1:7" ht="15.75" x14ac:dyDescent="0.3">
      <c r="A1262" s="148" t="s">
        <v>104</v>
      </c>
      <c r="B1262" s="149">
        <v>1071684</v>
      </c>
      <c r="C1262" s="148" t="s">
        <v>1493</v>
      </c>
      <c r="D1262" s="150">
        <v>11.9</v>
      </c>
      <c r="E1262" s="151" t="s">
        <v>9</v>
      </c>
      <c r="F1262" s="152">
        <v>1</v>
      </c>
      <c r="G1262" s="152">
        <v>63</v>
      </c>
    </row>
    <row r="1263" spans="1:7" ht="15.75" x14ac:dyDescent="0.3">
      <c r="A1263" s="148" t="s">
        <v>110</v>
      </c>
      <c r="B1263" s="149">
        <v>1088656</v>
      </c>
      <c r="C1263" s="148" t="s">
        <v>1494</v>
      </c>
      <c r="D1263" s="150">
        <v>128.16</v>
      </c>
      <c r="E1263" s="151" t="s">
        <v>68</v>
      </c>
      <c r="F1263" s="152">
        <v>1</v>
      </c>
      <c r="G1263" s="152">
        <v>50</v>
      </c>
    </row>
    <row r="1264" spans="1:7" ht="15.75" x14ac:dyDescent="0.3">
      <c r="A1264" s="148" t="s">
        <v>110</v>
      </c>
      <c r="B1264" s="149">
        <v>1088657</v>
      </c>
      <c r="C1264" s="148" t="s">
        <v>1495</v>
      </c>
      <c r="D1264" s="150">
        <v>148.44999999999999</v>
      </c>
      <c r="E1264" s="151" t="s">
        <v>68</v>
      </c>
      <c r="F1264" s="152">
        <v>1</v>
      </c>
      <c r="G1264" s="152">
        <v>50</v>
      </c>
    </row>
    <row r="1265" spans="1:7" ht="15.75" x14ac:dyDescent="0.3">
      <c r="A1265" s="148" t="s">
        <v>110</v>
      </c>
      <c r="B1265" s="149">
        <v>1088658</v>
      </c>
      <c r="C1265" s="148" t="s">
        <v>1496</v>
      </c>
      <c r="D1265" s="150">
        <v>180.58</v>
      </c>
      <c r="E1265" s="151" t="s">
        <v>68</v>
      </c>
      <c r="F1265" s="152">
        <v>1</v>
      </c>
      <c r="G1265" s="152">
        <v>50</v>
      </c>
    </row>
    <row r="1266" spans="1:7" ht="15.75" x14ac:dyDescent="0.3">
      <c r="A1266" s="148" t="s">
        <v>110</v>
      </c>
      <c r="B1266" s="149">
        <v>1088659</v>
      </c>
      <c r="C1266" s="148" t="s">
        <v>1497</v>
      </c>
      <c r="D1266" s="150">
        <v>239.84</v>
      </c>
      <c r="E1266" s="151" t="s">
        <v>68</v>
      </c>
      <c r="F1266" s="152">
        <v>1</v>
      </c>
      <c r="G1266" s="152">
        <v>50</v>
      </c>
    </row>
    <row r="1267" spans="1:7" ht="15.75" x14ac:dyDescent="0.3">
      <c r="A1267" s="148" t="s">
        <v>110</v>
      </c>
      <c r="B1267" s="149">
        <v>1088660</v>
      </c>
      <c r="C1267" s="148" t="s">
        <v>1498</v>
      </c>
      <c r="D1267" s="150">
        <v>243.31</v>
      </c>
      <c r="E1267" s="151" t="s">
        <v>68</v>
      </c>
      <c r="F1267" s="152">
        <v>1</v>
      </c>
      <c r="G1267" s="152">
        <v>50</v>
      </c>
    </row>
    <row r="1268" spans="1:7" ht="15.75" x14ac:dyDescent="0.3">
      <c r="A1268" s="148" t="s">
        <v>110</v>
      </c>
      <c r="B1268" s="149">
        <v>1088661</v>
      </c>
      <c r="C1268" s="148" t="s">
        <v>1499</v>
      </c>
      <c r="D1268" s="150">
        <v>346.39</v>
      </c>
      <c r="E1268" s="151" t="s">
        <v>68</v>
      </c>
      <c r="F1268" s="152">
        <v>1</v>
      </c>
      <c r="G1268" s="152">
        <v>35</v>
      </c>
    </row>
    <row r="1269" spans="1:7" ht="15.75" x14ac:dyDescent="0.3">
      <c r="A1269" s="148" t="s">
        <v>110</v>
      </c>
      <c r="B1269" s="149">
        <v>1088662</v>
      </c>
      <c r="C1269" s="148" t="s">
        <v>1500</v>
      </c>
      <c r="D1269" s="150">
        <v>397.25</v>
      </c>
      <c r="E1269" s="151" t="s">
        <v>68</v>
      </c>
      <c r="F1269" s="152">
        <v>1</v>
      </c>
      <c r="G1269" s="152">
        <v>35</v>
      </c>
    </row>
    <row r="1270" spans="1:7" ht="15.75" x14ac:dyDescent="0.3">
      <c r="A1270" s="148" t="s">
        <v>110</v>
      </c>
      <c r="B1270" s="149">
        <v>1088663</v>
      </c>
      <c r="C1270" s="148" t="s">
        <v>1501</v>
      </c>
      <c r="D1270" s="150">
        <v>509.51</v>
      </c>
      <c r="E1270" s="151" t="s">
        <v>68</v>
      </c>
      <c r="F1270" s="152">
        <v>1</v>
      </c>
      <c r="G1270" s="152">
        <v>35</v>
      </c>
    </row>
    <row r="1271" spans="1:7" ht="15.75" x14ac:dyDescent="0.3">
      <c r="A1271" s="148" t="s">
        <v>110</v>
      </c>
      <c r="B1271" s="149">
        <v>1088664</v>
      </c>
      <c r="C1271" s="148" t="s">
        <v>1502</v>
      </c>
      <c r="D1271" s="150">
        <v>624.79999999999995</v>
      </c>
      <c r="E1271" s="151" t="s">
        <v>68</v>
      </c>
      <c r="F1271" s="152">
        <v>1</v>
      </c>
      <c r="G1271" s="152">
        <v>20</v>
      </c>
    </row>
    <row r="1272" spans="1:7" ht="15.75" x14ac:dyDescent="0.3">
      <c r="A1272" s="148" t="s">
        <v>110</v>
      </c>
      <c r="B1272" s="149">
        <v>1088665</v>
      </c>
      <c r="C1272" s="148" t="s">
        <v>1503</v>
      </c>
      <c r="D1272" s="150">
        <v>704.42</v>
      </c>
      <c r="E1272" s="151" t="s">
        <v>68</v>
      </c>
      <c r="F1272" s="152">
        <v>1</v>
      </c>
      <c r="G1272" s="152">
        <v>20</v>
      </c>
    </row>
    <row r="1273" spans="1:7" ht="15.75" x14ac:dyDescent="0.3">
      <c r="A1273" s="148" t="s">
        <v>110</v>
      </c>
      <c r="B1273" s="149">
        <v>1088666</v>
      </c>
      <c r="C1273" s="148" t="s">
        <v>1504</v>
      </c>
      <c r="D1273" s="150">
        <v>777.05</v>
      </c>
      <c r="E1273" s="151" t="s">
        <v>68</v>
      </c>
      <c r="F1273" s="152">
        <v>1</v>
      </c>
      <c r="G1273" s="152">
        <v>20</v>
      </c>
    </row>
    <row r="1274" spans="1:7" ht="15.75" x14ac:dyDescent="0.3">
      <c r="A1274" s="148" t="s">
        <v>110</v>
      </c>
      <c r="B1274" s="149">
        <v>1088667</v>
      </c>
      <c r="C1274" s="148" t="s">
        <v>1505</v>
      </c>
      <c r="D1274" s="150">
        <v>841.99</v>
      </c>
      <c r="E1274" s="151" t="s">
        <v>68</v>
      </c>
      <c r="F1274" s="152">
        <v>1</v>
      </c>
      <c r="G1274" s="152">
        <v>20</v>
      </c>
    </row>
    <row r="1275" spans="1:7" ht="15.75" x14ac:dyDescent="0.3">
      <c r="A1275" s="148" t="s">
        <v>110</v>
      </c>
      <c r="B1275" s="149">
        <v>1088705</v>
      </c>
      <c r="C1275" s="148" t="s">
        <v>1506</v>
      </c>
      <c r="D1275" s="150">
        <v>123.97</v>
      </c>
      <c r="E1275" s="151" t="s">
        <v>68</v>
      </c>
      <c r="F1275" s="152">
        <v>1</v>
      </c>
      <c r="G1275" s="149"/>
    </row>
    <row r="1276" spans="1:7" ht="15.75" x14ac:dyDescent="0.3">
      <c r="A1276" s="148" t="s">
        <v>110</v>
      </c>
      <c r="B1276" s="149">
        <v>1088819</v>
      </c>
      <c r="C1276" s="148" t="s">
        <v>1507</v>
      </c>
      <c r="D1276" s="150">
        <v>198.78</v>
      </c>
      <c r="E1276" s="151" t="s">
        <v>68</v>
      </c>
      <c r="F1276" s="152">
        <v>1</v>
      </c>
      <c r="G1276" s="149"/>
    </row>
    <row r="1277" spans="1:7" ht="15.75" x14ac:dyDescent="0.3">
      <c r="A1277" s="148" t="s">
        <v>110</v>
      </c>
      <c r="B1277" s="149">
        <v>1088706</v>
      </c>
      <c r="C1277" s="148" t="s">
        <v>1508</v>
      </c>
      <c r="D1277" s="150">
        <v>239.17</v>
      </c>
      <c r="E1277" s="151" t="s">
        <v>68</v>
      </c>
      <c r="F1277" s="152">
        <v>1</v>
      </c>
      <c r="G1277" s="149"/>
    </row>
    <row r="1278" spans="1:7" ht="15.75" x14ac:dyDescent="0.3">
      <c r="A1278" s="148" t="s">
        <v>363</v>
      </c>
      <c r="B1278" s="149">
        <v>1095714</v>
      </c>
      <c r="C1278" s="148" t="s">
        <v>364</v>
      </c>
      <c r="D1278" s="150">
        <v>96.49</v>
      </c>
      <c r="E1278" s="151" t="s">
        <v>7</v>
      </c>
      <c r="F1278" s="152">
        <v>200</v>
      </c>
      <c r="G1278" s="149"/>
    </row>
    <row r="1279" spans="1:7" ht="15.75" x14ac:dyDescent="0.3">
      <c r="A1279" s="148" t="s">
        <v>363</v>
      </c>
      <c r="B1279" s="149">
        <v>1095715</v>
      </c>
      <c r="C1279" s="148" t="s">
        <v>365</v>
      </c>
      <c r="D1279" s="150">
        <v>104.82</v>
      </c>
      <c r="E1279" s="151" t="s">
        <v>7</v>
      </c>
      <c r="F1279" s="152">
        <v>200</v>
      </c>
      <c r="G1279" s="149"/>
    </row>
    <row r="1280" spans="1:7" ht="15.75" x14ac:dyDescent="0.3">
      <c r="A1280" s="148" t="s">
        <v>363</v>
      </c>
      <c r="B1280" s="149">
        <v>1095716</v>
      </c>
      <c r="C1280" s="148" t="s">
        <v>366</v>
      </c>
      <c r="D1280" s="150">
        <v>123.54</v>
      </c>
      <c r="E1280" s="151" t="s">
        <v>7</v>
      </c>
      <c r="F1280" s="152">
        <v>200</v>
      </c>
      <c r="G1280" s="149"/>
    </row>
    <row r="1281" spans="1:7" ht="15.75" x14ac:dyDescent="0.3">
      <c r="A1281" s="148" t="s">
        <v>363</v>
      </c>
      <c r="B1281" s="149">
        <v>1095717</v>
      </c>
      <c r="C1281" s="148" t="s">
        <v>367</v>
      </c>
      <c r="D1281" s="150">
        <v>134.75</v>
      </c>
      <c r="E1281" s="151" t="s">
        <v>7</v>
      </c>
      <c r="F1281" s="152">
        <v>200</v>
      </c>
      <c r="G1281" s="149"/>
    </row>
    <row r="1282" spans="1:7" ht="15.75" x14ac:dyDescent="0.3">
      <c r="A1282" s="148" t="s">
        <v>363</v>
      </c>
      <c r="B1282" s="149">
        <v>1095718</v>
      </c>
      <c r="C1282" s="148" t="s">
        <v>368</v>
      </c>
      <c r="D1282" s="150">
        <v>163.36000000000001</v>
      </c>
      <c r="E1282" s="151" t="s">
        <v>7</v>
      </c>
      <c r="F1282" s="152">
        <v>150</v>
      </c>
      <c r="G1282" s="149"/>
    </row>
    <row r="1283" spans="1:7" ht="15.75" x14ac:dyDescent="0.3">
      <c r="A1283" s="148" t="s">
        <v>363</v>
      </c>
      <c r="B1283" s="149">
        <v>1095719</v>
      </c>
      <c r="C1283" s="148" t="s">
        <v>369</v>
      </c>
      <c r="D1283" s="150">
        <v>191.43</v>
      </c>
      <c r="E1283" s="151" t="s">
        <v>7</v>
      </c>
      <c r="F1283" s="152">
        <v>150</v>
      </c>
      <c r="G1283" s="149"/>
    </row>
    <row r="1284" spans="1:7" ht="15.75" x14ac:dyDescent="0.3">
      <c r="A1284" s="148" t="s">
        <v>363</v>
      </c>
      <c r="B1284" s="149">
        <v>1095720</v>
      </c>
      <c r="C1284" s="148" t="s">
        <v>370</v>
      </c>
      <c r="D1284" s="150">
        <v>252.26</v>
      </c>
      <c r="E1284" s="151" t="s">
        <v>7</v>
      </c>
      <c r="F1284" s="152">
        <v>120</v>
      </c>
      <c r="G1284" s="149"/>
    </row>
    <row r="1285" spans="1:7" ht="15.75" x14ac:dyDescent="0.3">
      <c r="A1285" s="148" t="s">
        <v>363</v>
      </c>
      <c r="B1285" s="149">
        <v>1121643</v>
      </c>
      <c r="C1285" s="148" t="s">
        <v>1509</v>
      </c>
      <c r="D1285" s="150">
        <v>295.33999999999997</v>
      </c>
      <c r="E1285" s="151" t="s">
        <v>7</v>
      </c>
      <c r="F1285" s="152">
        <v>95</v>
      </c>
      <c r="G1285" s="149"/>
    </row>
    <row r="1286" spans="1:7" ht="15.75" x14ac:dyDescent="0.3">
      <c r="A1286" s="148" t="s">
        <v>363</v>
      </c>
      <c r="B1286" s="149">
        <v>1121644</v>
      </c>
      <c r="C1286" s="148" t="s">
        <v>1510</v>
      </c>
      <c r="D1286" s="150">
        <v>365.83</v>
      </c>
      <c r="E1286" s="151" t="s">
        <v>7</v>
      </c>
      <c r="F1286" s="152">
        <v>80</v>
      </c>
      <c r="G1286" s="149"/>
    </row>
    <row r="1287" spans="1:7" ht="15.75" x14ac:dyDescent="0.3">
      <c r="A1287" s="148" t="s">
        <v>363</v>
      </c>
      <c r="B1287" s="149">
        <v>1118580</v>
      </c>
      <c r="C1287" s="148" t="s">
        <v>371</v>
      </c>
      <c r="D1287" s="150">
        <v>100.05</v>
      </c>
      <c r="E1287" s="151" t="s">
        <v>7</v>
      </c>
      <c r="F1287" s="152">
        <v>200</v>
      </c>
      <c r="G1287" s="149"/>
    </row>
    <row r="1288" spans="1:7" ht="15.75" x14ac:dyDescent="0.3">
      <c r="A1288" s="148" t="s">
        <v>363</v>
      </c>
      <c r="B1288" s="149">
        <v>1118581</v>
      </c>
      <c r="C1288" s="148" t="s">
        <v>372</v>
      </c>
      <c r="D1288" s="150">
        <v>109.76</v>
      </c>
      <c r="E1288" s="151" t="s">
        <v>7</v>
      </c>
      <c r="F1288" s="152">
        <v>200</v>
      </c>
      <c r="G1288" s="149"/>
    </row>
    <row r="1289" spans="1:7" ht="15.75" x14ac:dyDescent="0.3">
      <c r="A1289" s="148" t="s">
        <v>363</v>
      </c>
      <c r="B1289" s="149">
        <v>1118582</v>
      </c>
      <c r="C1289" s="148" t="s">
        <v>373</v>
      </c>
      <c r="D1289" s="150">
        <v>134.77000000000001</v>
      </c>
      <c r="E1289" s="151" t="s">
        <v>7</v>
      </c>
      <c r="F1289" s="152">
        <v>200</v>
      </c>
      <c r="G1289" s="149"/>
    </row>
    <row r="1290" spans="1:7" ht="15.75" x14ac:dyDescent="0.3">
      <c r="A1290" s="148" t="s">
        <v>363</v>
      </c>
      <c r="B1290" s="149">
        <v>1118583</v>
      </c>
      <c r="C1290" s="148" t="s">
        <v>374</v>
      </c>
      <c r="D1290" s="150">
        <v>164.72</v>
      </c>
      <c r="E1290" s="151" t="s">
        <v>7</v>
      </c>
      <c r="F1290" s="152">
        <v>200</v>
      </c>
      <c r="G1290" s="149"/>
    </row>
    <row r="1291" spans="1:7" ht="15.75" x14ac:dyDescent="0.3">
      <c r="A1291" s="148" t="s">
        <v>363</v>
      </c>
      <c r="B1291" s="149">
        <v>1118584</v>
      </c>
      <c r="C1291" s="148" t="s">
        <v>375</v>
      </c>
      <c r="D1291" s="150">
        <v>200.11</v>
      </c>
      <c r="E1291" s="151" t="s">
        <v>7</v>
      </c>
      <c r="F1291" s="152">
        <v>100</v>
      </c>
      <c r="G1291" s="149"/>
    </row>
    <row r="1292" spans="1:7" ht="15.75" x14ac:dyDescent="0.3">
      <c r="A1292" s="148" t="s">
        <v>363</v>
      </c>
      <c r="B1292" s="149">
        <v>1118585</v>
      </c>
      <c r="C1292" s="148" t="s">
        <v>376</v>
      </c>
      <c r="D1292" s="150">
        <v>286.61</v>
      </c>
      <c r="E1292" s="151" t="s">
        <v>7</v>
      </c>
      <c r="F1292" s="152">
        <v>100</v>
      </c>
      <c r="G1292" s="149"/>
    </row>
    <row r="1293" spans="1:7" ht="15.75" x14ac:dyDescent="0.3">
      <c r="A1293" s="148" t="s">
        <v>377</v>
      </c>
      <c r="B1293" s="149">
        <v>1018110</v>
      </c>
      <c r="C1293" s="148" t="s">
        <v>378</v>
      </c>
      <c r="D1293" s="150">
        <v>59.58</v>
      </c>
      <c r="E1293" s="151" t="s">
        <v>7</v>
      </c>
      <c r="F1293" s="152">
        <v>200</v>
      </c>
      <c r="G1293" s="149"/>
    </row>
    <row r="1294" spans="1:7" ht="15.75" x14ac:dyDescent="0.3">
      <c r="A1294" s="148" t="s">
        <v>377</v>
      </c>
      <c r="B1294" s="149">
        <v>1018111</v>
      </c>
      <c r="C1294" s="148" t="s">
        <v>379</v>
      </c>
      <c r="D1294" s="150">
        <v>73.61</v>
      </c>
      <c r="E1294" s="151" t="s">
        <v>7</v>
      </c>
      <c r="F1294" s="152">
        <v>200</v>
      </c>
      <c r="G1294" s="149"/>
    </row>
    <row r="1295" spans="1:7" ht="15.75" x14ac:dyDescent="0.3">
      <c r="A1295" s="148" t="s">
        <v>377</v>
      </c>
      <c r="B1295" s="149">
        <v>1018112</v>
      </c>
      <c r="C1295" s="148" t="s">
        <v>380</v>
      </c>
      <c r="D1295" s="150">
        <v>98.15</v>
      </c>
      <c r="E1295" s="151" t="s">
        <v>7</v>
      </c>
      <c r="F1295" s="152">
        <v>200</v>
      </c>
      <c r="G1295" s="149"/>
    </row>
    <row r="1296" spans="1:7" ht="15.75" x14ac:dyDescent="0.3">
      <c r="A1296" s="148" t="s">
        <v>377</v>
      </c>
      <c r="B1296" s="149">
        <v>1018113</v>
      </c>
      <c r="C1296" s="148" t="s">
        <v>381</v>
      </c>
      <c r="D1296" s="150">
        <v>115.66</v>
      </c>
      <c r="E1296" s="151" t="s">
        <v>7</v>
      </c>
      <c r="F1296" s="152">
        <v>200</v>
      </c>
      <c r="G1296" s="149"/>
    </row>
    <row r="1297" spans="1:7" ht="15.75" x14ac:dyDescent="0.3">
      <c r="A1297" s="148" t="s">
        <v>377</v>
      </c>
      <c r="B1297" s="149">
        <v>1018114</v>
      </c>
      <c r="C1297" s="148" t="s">
        <v>382</v>
      </c>
      <c r="D1297" s="150">
        <v>126.18</v>
      </c>
      <c r="E1297" s="151" t="s">
        <v>7</v>
      </c>
      <c r="F1297" s="152">
        <v>100</v>
      </c>
      <c r="G1297" s="149"/>
    </row>
    <row r="1298" spans="1:7" ht="15.75" x14ac:dyDescent="0.3">
      <c r="A1298" s="148" t="s">
        <v>377</v>
      </c>
      <c r="B1298" s="149">
        <v>1018115</v>
      </c>
      <c r="C1298" s="148" t="s">
        <v>383</v>
      </c>
      <c r="D1298" s="150">
        <v>140.19999999999999</v>
      </c>
      <c r="E1298" s="151" t="s">
        <v>7</v>
      </c>
      <c r="F1298" s="152">
        <v>100</v>
      </c>
      <c r="G1298" s="149"/>
    </row>
    <row r="1299" spans="1:7" ht="15.75" x14ac:dyDescent="0.3">
      <c r="A1299" s="148" t="s">
        <v>377</v>
      </c>
      <c r="B1299" s="149">
        <v>1018116</v>
      </c>
      <c r="C1299" s="148" t="s">
        <v>384</v>
      </c>
      <c r="D1299" s="150">
        <v>157.72999999999999</v>
      </c>
      <c r="E1299" s="151" t="s">
        <v>7</v>
      </c>
      <c r="F1299" s="152">
        <v>100</v>
      </c>
      <c r="G1299" s="149"/>
    </row>
    <row r="1300" spans="1:7" ht="15.75" x14ac:dyDescent="0.3">
      <c r="A1300" s="148" t="s">
        <v>377</v>
      </c>
      <c r="B1300" s="149">
        <v>1083868</v>
      </c>
      <c r="C1300" s="148" t="s">
        <v>385</v>
      </c>
      <c r="D1300" s="150">
        <v>216.52</v>
      </c>
      <c r="E1300" s="151" t="s">
        <v>7</v>
      </c>
      <c r="F1300" s="152">
        <v>120</v>
      </c>
      <c r="G1300" s="149"/>
    </row>
    <row r="1301" spans="1:7" ht="15.75" x14ac:dyDescent="0.3">
      <c r="A1301" s="148" t="s">
        <v>377</v>
      </c>
      <c r="B1301" s="149">
        <v>1045877</v>
      </c>
      <c r="C1301" s="148" t="s">
        <v>386</v>
      </c>
      <c r="D1301" s="150">
        <v>88.37</v>
      </c>
      <c r="E1301" s="151" t="s">
        <v>7</v>
      </c>
      <c r="F1301" s="152">
        <v>200</v>
      </c>
      <c r="G1301" s="149"/>
    </row>
    <row r="1302" spans="1:7" ht="15.75" x14ac:dyDescent="0.3">
      <c r="A1302" s="148" t="s">
        <v>377</v>
      </c>
      <c r="B1302" s="149">
        <v>1045878</v>
      </c>
      <c r="C1302" s="148" t="s">
        <v>387</v>
      </c>
      <c r="D1302" s="150">
        <v>94.52</v>
      </c>
      <c r="E1302" s="151" t="s">
        <v>7</v>
      </c>
      <c r="F1302" s="152">
        <v>200</v>
      </c>
      <c r="G1302" s="149"/>
    </row>
    <row r="1303" spans="1:7" ht="15.75" x14ac:dyDescent="0.3">
      <c r="A1303" s="148" t="s">
        <v>377</v>
      </c>
      <c r="B1303" s="149">
        <v>1045879</v>
      </c>
      <c r="C1303" s="148" t="s">
        <v>388</v>
      </c>
      <c r="D1303" s="150">
        <v>138.85</v>
      </c>
      <c r="E1303" s="151" t="s">
        <v>7</v>
      </c>
      <c r="F1303" s="152">
        <v>200</v>
      </c>
      <c r="G1303" s="149"/>
    </row>
    <row r="1304" spans="1:7" ht="15.75" x14ac:dyDescent="0.3">
      <c r="A1304" s="148" t="s">
        <v>377</v>
      </c>
      <c r="B1304" s="149">
        <v>1061041</v>
      </c>
      <c r="C1304" s="148" t="s">
        <v>389</v>
      </c>
      <c r="D1304" s="150">
        <v>153.13999999999999</v>
      </c>
      <c r="E1304" s="151" t="s">
        <v>7</v>
      </c>
      <c r="F1304" s="152">
        <v>100</v>
      </c>
      <c r="G1304" s="149"/>
    </row>
    <row r="1305" spans="1:7" ht="15.75" x14ac:dyDescent="0.3">
      <c r="A1305" s="148" t="s">
        <v>377</v>
      </c>
      <c r="B1305" s="149">
        <v>1061042</v>
      </c>
      <c r="C1305" s="148" t="s">
        <v>390</v>
      </c>
      <c r="D1305" s="150">
        <v>183.77</v>
      </c>
      <c r="E1305" s="151" t="s">
        <v>7</v>
      </c>
      <c r="F1305" s="152">
        <v>100</v>
      </c>
      <c r="G1305" s="149"/>
    </row>
    <row r="1306" spans="1:7" ht="15.75" x14ac:dyDescent="0.3">
      <c r="A1306" s="148" t="s">
        <v>377</v>
      </c>
      <c r="B1306" s="149">
        <v>1061043</v>
      </c>
      <c r="C1306" s="148" t="s">
        <v>391</v>
      </c>
      <c r="D1306" s="150">
        <v>200.8</v>
      </c>
      <c r="E1306" s="151" t="s">
        <v>7</v>
      </c>
      <c r="F1306" s="152">
        <v>100</v>
      </c>
      <c r="G1306" s="149"/>
    </row>
    <row r="1307" spans="1:7" ht="15.75" x14ac:dyDescent="0.3">
      <c r="A1307" s="148" t="s">
        <v>377</v>
      </c>
      <c r="B1307" s="149">
        <v>1018165</v>
      </c>
      <c r="C1307" s="148" t="s">
        <v>1511</v>
      </c>
      <c r="D1307" s="150">
        <v>175.64</v>
      </c>
      <c r="E1307" s="151" t="s">
        <v>7</v>
      </c>
      <c r="F1307" s="152">
        <v>100</v>
      </c>
      <c r="G1307" s="149"/>
    </row>
    <row r="1308" spans="1:7" ht="15.75" x14ac:dyDescent="0.3">
      <c r="A1308" s="148" t="s">
        <v>377</v>
      </c>
      <c r="B1308" s="149">
        <v>1018166</v>
      </c>
      <c r="C1308" s="148" t="s">
        <v>1512</v>
      </c>
      <c r="D1308" s="150">
        <v>182.01</v>
      </c>
      <c r="E1308" s="151" t="s">
        <v>7</v>
      </c>
      <c r="F1308" s="152">
        <v>100</v>
      </c>
      <c r="G1308" s="149"/>
    </row>
    <row r="1309" spans="1:7" ht="15.75" x14ac:dyDescent="0.3">
      <c r="A1309" s="148" t="s">
        <v>377</v>
      </c>
      <c r="B1309" s="149">
        <v>1018167</v>
      </c>
      <c r="C1309" s="148" t="s">
        <v>1513</v>
      </c>
      <c r="D1309" s="150">
        <v>186.62</v>
      </c>
      <c r="E1309" s="151" t="s">
        <v>7</v>
      </c>
      <c r="F1309" s="152">
        <v>100</v>
      </c>
      <c r="G1309" s="149"/>
    </row>
    <row r="1310" spans="1:7" ht="15.75" x14ac:dyDescent="0.3">
      <c r="A1310" s="148" t="s">
        <v>377</v>
      </c>
      <c r="B1310" s="149">
        <v>1018168</v>
      </c>
      <c r="C1310" s="148" t="s">
        <v>1514</v>
      </c>
      <c r="D1310" s="150">
        <v>195.49</v>
      </c>
      <c r="E1310" s="151" t="s">
        <v>7</v>
      </c>
      <c r="F1310" s="152">
        <v>100</v>
      </c>
      <c r="G1310" s="149"/>
    </row>
    <row r="1311" spans="1:7" ht="15.75" x14ac:dyDescent="0.3">
      <c r="A1311" s="148" t="s">
        <v>377</v>
      </c>
      <c r="B1311" s="149">
        <v>1018169</v>
      </c>
      <c r="C1311" s="148" t="s">
        <v>1515</v>
      </c>
      <c r="D1311" s="150">
        <v>210.56</v>
      </c>
      <c r="E1311" s="151" t="s">
        <v>7</v>
      </c>
      <c r="F1311" s="152">
        <v>100</v>
      </c>
      <c r="G1311" s="149"/>
    </row>
    <row r="1312" spans="1:7" ht="15.75" x14ac:dyDescent="0.3">
      <c r="A1312" s="148" t="s">
        <v>377</v>
      </c>
      <c r="B1312" s="149">
        <v>1018170</v>
      </c>
      <c r="C1312" s="148" t="s">
        <v>1516</v>
      </c>
      <c r="D1312" s="150">
        <v>221.71</v>
      </c>
      <c r="E1312" s="151" t="s">
        <v>7</v>
      </c>
      <c r="F1312" s="152">
        <v>100</v>
      </c>
      <c r="G1312" s="149"/>
    </row>
    <row r="1313" spans="1:7" ht="15.75" x14ac:dyDescent="0.3">
      <c r="A1313" s="148" t="s">
        <v>377</v>
      </c>
      <c r="B1313" s="149">
        <v>1018171</v>
      </c>
      <c r="C1313" s="148" t="s">
        <v>1517</v>
      </c>
      <c r="D1313" s="150">
        <v>229.19</v>
      </c>
      <c r="E1313" s="151" t="s">
        <v>7</v>
      </c>
      <c r="F1313" s="152">
        <v>100</v>
      </c>
      <c r="G1313" s="149"/>
    </row>
    <row r="1314" spans="1:7" ht="15.75" x14ac:dyDescent="0.3">
      <c r="A1314" s="148" t="s">
        <v>377</v>
      </c>
      <c r="B1314" s="149">
        <v>1018172</v>
      </c>
      <c r="C1314" s="148" t="s">
        <v>1518</v>
      </c>
      <c r="D1314" s="150">
        <v>264.48</v>
      </c>
      <c r="E1314" s="151" t="s">
        <v>7</v>
      </c>
      <c r="F1314" s="152">
        <v>100</v>
      </c>
      <c r="G1314" s="149"/>
    </row>
    <row r="1315" spans="1:7" ht="15.75" x14ac:dyDescent="0.3">
      <c r="A1315" s="148" t="s">
        <v>377</v>
      </c>
      <c r="B1315" s="149">
        <v>1018134</v>
      </c>
      <c r="C1315" s="148" t="s">
        <v>392</v>
      </c>
      <c r="D1315" s="150">
        <v>73.61</v>
      </c>
      <c r="E1315" s="151" t="s">
        <v>7</v>
      </c>
      <c r="F1315" s="152">
        <v>200</v>
      </c>
      <c r="G1315" s="149"/>
    </row>
    <row r="1316" spans="1:7" ht="15.75" x14ac:dyDescent="0.3">
      <c r="A1316" s="148" t="s">
        <v>377</v>
      </c>
      <c r="B1316" s="149">
        <v>1018135</v>
      </c>
      <c r="C1316" s="148" t="s">
        <v>393</v>
      </c>
      <c r="D1316" s="150">
        <v>87.63</v>
      </c>
      <c r="E1316" s="151" t="s">
        <v>7</v>
      </c>
      <c r="F1316" s="152">
        <v>200</v>
      </c>
      <c r="G1316" s="149"/>
    </row>
    <row r="1317" spans="1:7" ht="15.75" x14ac:dyDescent="0.3">
      <c r="A1317" s="148" t="s">
        <v>377</v>
      </c>
      <c r="B1317" s="149">
        <v>1018136</v>
      </c>
      <c r="C1317" s="148" t="s">
        <v>394</v>
      </c>
      <c r="D1317" s="150">
        <v>115.66</v>
      </c>
      <c r="E1317" s="151" t="s">
        <v>7</v>
      </c>
      <c r="F1317" s="152">
        <v>200</v>
      </c>
      <c r="G1317" s="149"/>
    </row>
    <row r="1318" spans="1:7" ht="15.75" x14ac:dyDescent="0.3">
      <c r="A1318" s="148" t="s">
        <v>377</v>
      </c>
      <c r="B1318" s="149">
        <v>1018137</v>
      </c>
      <c r="C1318" s="148" t="s">
        <v>395</v>
      </c>
      <c r="D1318" s="150">
        <v>154.22</v>
      </c>
      <c r="E1318" s="151" t="s">
        <v>7</v>
      </c>
      <c r="F1318" s="152">
        <v>100</v>
      </c>
      <c r="G1318" s="149"/>
    </row>
    <row r="1319" spans="1:7" ht="15.75" x14ac:dyDescent="0.3">
      <c r="A1319" s="148" t="s">
        <v>377</v>
      </c>
      <c r="B1319" s="149">
        <v>1018138</v>
      </c>
      <c r="C1319" s="148" t="s">
        <v>396</v>
      </c>
      <c r="D1319" s="150">
        <v>171.76</v>
      </c>
      <c r="E1319" s="151" t="s">
        <v>7</v>
      </c>
      <c r="F1319" s="152">
        <v>100</v>
      </c>
      <c r="G1319" s="149"/>
    </row>
    <row r="1320" spans="1:7" ht="15.75" x14ac:dyDescent="0.3">
      <c r="A1320" s="148" t="s">
        <v>377</v>
      </c>
      <c r="B1320" s="149">
        <v>1018132</v>
      </c>
      <c r="C1320" s="148" t="s">
        <v>397</v>
      </c>
      <c r="D1320" s="150">
        <v>35.08</v>
      </c>
      <c r="E1320" s="151" t="s">
        <v>7</v>
      </c>
      <c r="F1320" s="152">
        <v>200</v>
      </c>
      <c r="G1320" s="149"/>
    </row>
    <row r="1321" spans="1:7" ht="15.75" x14ac:dyDescent="0.3">
      <c r="A1321" s="148" t="s">
        <v>377</v>
      </c>
      <c r="B1321" s="149">
        <v>1018133</v>
      </c>
      <c r="C1321" s="148" t="s">
        <v>398</v>
      </c>
      <c r="D1321" s="150">
        <v>52.58</v>
      </c>
      <c r="E1321" s="151" t="s">
        <v>7</v>
      </c>
      <c r="F1321" s="152">
        <v>200</v>
      </c>
      <c r="G1321" s="149"/>
    </row>
    <row r="1322" spans="1:7" ht="15.75" x14ac:dyDescent="0.3">
      <c r="A1322" s="148" t="s">
        <v>377</v>
      </c>
      <c r="B1322" s="149">
        <v>1093894</v>
      </c>
      <c r="C1322" s="148" t="s">
        <v>399</v>
      </c>
      <c r="D1322" s="150">
        <v>59.29</v>
      </c>
      <c r="E1322" s="151" t="s">
        <v>7</v>
      </c>
      <c r="F1322" s="152">
        <v>200</v>
      </c>
      <c r="G1322" s="149"/>
    </row>
    <row r="1323" spans="1:7" ht="15.75" x14ac:dyDescent="0.3">
      <c r="A1323" s="148" t="s">
        <v>377</v>
      </c>
      <c r="B1323" s="149">
        <v>1093895</v>
      </c>
      <c r="C1323" s="148" t="s">
        <v>400</v>
      </c>
      <c r="D1323" s="150">
        <v>81.510000000000005</v>
      </c>
      <c r="E1323" s="151" t="s">
        <v>7</v>
      </c>
      <c r="F1323" s="152">
        <v>200</v>
      </c>
      <c r="G1323" s="149"/>
    </row>
    <row r="1324" spans="1:7" ht="15.75" x14ac:dyDescent="0.3">
      <c r="A1324" s="148" t="s">
        <v>401</v>
      </c>
      <c r="B1324" s="149">
        <v>1018230</v>
      </c>
      <c r="C1324" s="148" t="s">
        <v>402</v>
      </c>
      <c r="D1324" s="150">
        <v>44.61</v>
      </c>
      <c r="E1324" s="151" t="s">
        <v>7</v>
      </c>
      <c r="F1324" s="152">
        <v>200</v>
      </c>
      <c r="G1324" s="149"/>
    </row>
    <row r="1325" spans="1:7" ht="15.75" x14ac:dyDescent="0.3">
      <c r="A1325" s="148" t="s">
        <v>401</v>
      </c>
      <c r="B1325" s="149">
        <v>1018231</v>
      </c>
      <c r="C1325" s="148" t="s">
        <v>403</v>
      </c>
      <c r="D1325" s="150">
        <v>48.04</v>
      </c>
      <c r="E1325" s="151" t="s">
        <v>7</v>
      </c>
      <c r="F1325" s="152">
        <v>200</v>
      </c>
      <c r="G1325" s="149"/>
    </row>
    <row r="1326" spans="1:7" ht="15.75" x14ac:dyDescent="0.3">
      <c r="A1326" s="148" t="s">
        <v>401</v>
      </c>
      <c r="B1326" s="149">
        <v>1018232</v>
      </c>
      <c r="C1326" s="148" t="s">
        <v>404</v>
      </c>
      <c r="D1326" s="150">
        <v>61.3</v>
      </c>
      <c r="E1326" s="151" t="s">
        <v>7</v>
      </c>
      <c r="F1326" s="152">
        <v>200</v>
      </c>
      <c r="G1326" s="149"/>
    </row>
    <row r="1327" spans="1:7" ht="15.75" x14ac:dyDescent="0.3">
      <c r="A1327" s="148" t="s">
        <v>401</v>
      </c>
      <c r="B1327" s="149">
        <v>1018233</v>
      </c>
      <c r="C1327" s="148" t="s">
        <v>405</v>
      </c>
      <c r="D1327" s="150">
        <v>68.06</v>
      </c>
      <c r="E1327" s="151" t="s">
        <v>7</v>
      </c>
      <c r="F1327" s="152">
        <v>200</v>
      </c>
      <c r="G1327" s="149"/>
    </row>
    <row r="1328" spans="1:7" ht="15.75" x14ac:dyDescent="0.3">
      <c r="A1328" s="148" t="s">
        <v>401</v>
      </c>
      <c r="B1328" s="149">
        <v>1018234</v>
      </c>
      <c r="C1328" s="148" t="s">
        <v>406</v>
      </c>
      <c r="D1328" s="150">
        <v>83.37</v>
      </c>
      <c r="E1328" s="151" t="s">
        <v>7</v>
      </c>
      <c r="F1328" s="152">
        <v>200</v>
      </c>
      <c r="G1328" s="149"/>
    </row>
    <row r="1329" spans="1:7" ht="15.75" x14ac:dyDescent="0.3">
      <c r="A1329" s="148" t="s">
        <v>401</v>
      </c>
      <c r="B1329" s="149">
        <v>1018235</v>
      </c>
      <c r="C1329" s="148" t="s">
        <v>407</v>
      </c>
      <c r="D1329" s="150">
        <v>121.84</v>
      </c>
      <c r="E1329" s="151" t="s">
        <v>7</v>
      </c>
      <c r="F1329" s="152">
        <v>200</v>
      </c>
      <c r="G1329" s="149"/>
    </row>
    <row r="1330" spans="1:7" ht="15.75" x14ac:dyDescent="0.3">
      <c r="A1330" s="148" t="s">
        <v>401</v>
      </c>
      <c r="B1330" s="149">
        <v>1018236</v>
      </c>
      <c r="C1330" s="148" t="s">
        <v>408</v>
      </c>
      <c r="D1330" s="150">
        <v>126.18</v>
      </c>
      <c r="E1330" s="151" t="s">
        <v>7</v>
      </c>
      <c r="F1330" s="152">
        <v>100</v>
      </c>
      <c r="G1330" s="149"/>
    </row>
    <row r="1331" spans="1:7" ht="15.75" x14ac:dyDescent="0.3">
      <c r="A1331" s="148" t="s">
        <v>401</v>
      </c>
      <c r="B1331" s="149">
        <v>1018237</v>
      </c>
      <c r="C1331" s="148" t="s">
        <v>409</v>
      </c>
      <c r="D1331" s="150">
        <v>141.97</v>
      </c>
      <c r="E1331" s="151" t="s">
        <v>7</v>
      </c>
      <c r="F1331" s="152">
        <v>100</v>
      </c>
      <c r="G1331" s="149"/>
    </row>
    <row r="1332" spans="1:7" ht="15.75" x14ac:dyDescent="0.3">
      <c r="A1332" s="148" t="s">
        <v>401</v>
      </c>
      <c r="B1332" s="149">
        <v>1062886</v>
      </c>
      <c r="C1332" s="148" t="s">
        <v>410</v>
      </c>
      <c r="D1332" s="150">
        <v>207.96</v>
      </c>
      <c r="E1332" s="151" t="s">
        <v>7</v>
      </c>
      <c r="F1332" s="152">
        <v>120</v>
      </c>
      <c r="G1332" s="149"/>
    </row>
    <row r="1333" spans="1:7" ht="15.75" x14ac:dyDescent="0.3">
      <c r="A1333" s="148" t="s">
        <v>401</v>
      </c>
      <c r="B1333" s="149">
        <v>1018238</v>
      </c>
      <c r="C1333" s="148" t="s">
        <v>411</v>
      </c>
      <c r="D1333" s="150">
        <v>59.64</v>
      </c>
      <c r="E1333" s="151" t="s">
        <v>7</v>
      </c>
      <c r="F1333" s="152">
        <v>200</v>
      </c>
      <c r="G1333" s="149"/>
    </row>
    <row r="1334" spans="1:7" ht="15.75" x14ac:dyDescent="0.3">
      <c r="A1334" s="148" t="s">
        <v>401</v>
      </c>
      <c r="B1334" s="149">
        <v>1018239</v>
      </c>
      <c r="C1334" s="148" t="s">
        <v>412</v>
      </c>
      <c r="D1334" s="150">
        <v>65.400000000000006</v>
      </c>
      <c r="E1334" s="151" t="s">
        <v>7</v>
      </c>
      <c r="F1334" s="152">
        <v>200</v>
      </c>
      <c r="G1334" s="149"/>
    </row>
    <row r="1335" spans="1:7" ht="15.75" x14ac:dyDescent="0.3">
      <c r="A1335" s="148" t="s">
        <v>401</v>
      </c>
      <c r="B1335" s="149">
        <v>1018240</v>
      </c>
      <c r="C1335" s="148" t="s">
        <v>413</v>
      </c>
      <c r="D1335" s="150">
        <v>72.55</v>
      </c>
      <c r="E1335" s="151" t="s">
        <v>7</v>
      </c>
      <c r="F1335" s="152">
        <v>200</v>
      </c>
      <c r="G1335" s="149"/>
    </row>
    <row r="1336" spans="1:7" ht="15.75" x14ac:dyDescent="0.3">
      <c r="A1336" s="148" t="s">
        <v>401</v>
      </c>
      <c r="B1336" s="149">
        <v>1018241</v>
      </c>
      <c r="C1336" s="148" t="s">
        <v>414</v>
      </c>
      <c r="D1336" s="150">
        <v>111.68</v>
      </c>
      <c r="E1336" s="151" t="s">
        <v>7</v>
      </c>
      <c r="F1336" s="152">
        <v>200</v>
      </c>
      <c r="G1336" s="149"/>
    </row>
    <row r="1337" spans="1:7" ht="15.75" x14ac:dyDescent="0.3">
      <c r="A1337" s="148" t="s">
        <v>415</v>
      </c>
      <c r="B1337" s="149">
        <v>1119047</v>
      </c>
      <c r="C1337" s="148" t="s">
        <v>416</v>
      </c>
      <c r="D1337" s="150">
        <v>104.82</v>
      </c>
      <c r="E1337" s="151" t="s">
        <v>7</v>
      </c>
      <c r="F1337" s="152">
        <v>200</v>
      </c>
      <c r="G1337" s="149"/>
    </row>
    <row r="1338" spans="1:7" ht="15.75" x14ac:dyDescent="0.3">
      <c r="A1338" s="148" t="s">
        <v>415</v>
      </c>
      <c r="B1338" s="149">
        <v>1119048</v>
      </c>
      <c r="C1338" s="148" t="s">
        <v>417</v>
      </c>
      <c r="D1338" s="150">
        <v>123.54</v>
      </c>
      <c r="E1338" s="151" t="s">
        <v>7</v>
      </c>
      <c r="F1338" s="152">
        <v>200</v>
      </c>
      <c r="G1338" s="149"/>
    </row>
    <row r="1339" spans="1:7" ht="15.75" x14ac:dyDescent="0.3">
      <c r="A1339" s="148" t="s">
        <v>415</v>
      </c>
      <c r="B1339" s="149">
        <v>1119049</v>
      </c>
      <c r="C1339" s="148" t="s">
        <v>418</v>
      </c>
      <c r="D1339" s="150">
        <v>142.25</v>
      </c>
      <c r="E1339" s="151" t="s">
        <v>7</v>
      </c>
      <c r="F1339" s="152">
        <v>200</v>
      </c>
      <c r="G1339" s="149"/>
    </row>
    <row r="1340" spans="1:7" ht="15.75" x14ac:dyDescent="0.3">
      <c r="A1340" s="148" t="s">
        <v>415</v>
      </c>
      <c r="B1340" s="149">
        <v>1119050</v>
      </c>
      <c r="C1340" s="148" t="s">
        <v>419</v>
      </c>
      <c r="D1340" s="150">
        <v>201.45</v>
      </c>
      <c r="E1340" s="151" t="s">
        <v>7</v>
      </c>
      <c r="F1340" s="152">
        <v>100</v>
      </c>
      <c r="G1340" s="149"/>
    </row>
    <row r="1341" spans="1:7" ht="15.75" x14ac:dyDescent="0.3">
      <c r="A1341" s="148" t="s">
        <v>415</v>
      </c>
      <c r="B1341" s="149">
        <v>1119051</v>
      </c>
      <c r="C1341" s="148" t="s">
        <v>420</v>
      </c>
      <c r="D1341" s="150">
        <v>236.07</v>
      </c>
      <c r="E1341" s="151" t="s">
        <v>7</v>
      </c>
      <c r="F1341" s="152">
        <v>100</v>
      </c>
      <c r="G1341" s="149"/>
    </row>
    <row r="1342" spans="1:7" ht="15.75" x14ac:dyDescent="0.3">
      <c r="A1342" s="148" t="s">
        <v>415</v>
      </c>
      <c r="B1342" s="149">
        <v>1119052</v>
      </c>
      <c r="C1342" s="148" t="s">
        <v>421</v>
      </c>
      <c r="D1342" s="150">
        <v>263.14</v>
      </c>
      <c r="E1342" s="151" t="s">
        <v>7</v>
      </c>
      <c r="F1342" s="152">
        <v>100</v>
      </c>
      <c r="G1342" s="149"/>
    </row>
    <row r="1343" spans="1:7" ht="15.75" x14ac:dyDescent="0.3">
      <c r="A1343" s="148" t="s">
        <v>415</v>
      </c>
      <c r="B1343" s="149">
        <v>1119053</v>
      </c>
      <c r="C1343" s="148" t="s">
        <v>422</v>
      </c>
      <c r="D1343" s="150">
        <v>101.07</v>
      </c>
      <c r="E1343" s="151" t="s">
        <v>7</v>
      </c>
      <c r="F1343" s="152">
        <v>200</v>
      </c>
      <c r="G1343" s="149"/>
    </row>
    <row r="1344" spans="1:7" ht="15.75" x14ac:dyDescent="0.3">
      <c r="A1344" s="148" t="s">
        <v>415</v>
      </c>
      <c r="B1344" s="149">
        <v>1119054</v>
      </c>
      <c r="C1344" s="148" t="s">
        <v>423</v>
      </c>
      <c r="D1344" s="150">
        <v>110.62</v>
      </c>
      <c r="E1344" s="151" t="s">
        <v>7</v>
      </c>
      <c r="F1344" s="152">
        <v>200</v>
      </c>
      <c r="G1344" s="149"/>
    </row>
    <row r="1345" spans="1:7" ht="15.75" x14ac:dyDescent="0.3">
      <c r="A1345" s="148" t="s">
        <v>415</v>
      </c>
      <c r="B1345" s="149">
        <v>1119055</v>
      </c>
      <c r="C1345" s="148" t="s">
        <v>424</v>
      </c>
      <c r="D1345" s="150">
        <v>131.03</v>
      </c>
      <c r="E1345" s="151" t="s">
        <v>7</v>
      </c>
      <c r="F1345" s="152">
        <v>200</v>
      </c>
      <c r="G1345" s="149"/>
    </row>
    <row r="1346" spans="1:7" ht="15.75" x14ac:dyDescent="0.3">
      <c r="A1346" s="148" t="s">
        <v>415</v>
      </c>
      <c r="B1346" s="149">
        <v>1119056</v>
      </c>
      <c r="C1346" s="148" t="s">
        <v>425</v>
      </c>
      <c r="D1346" s="150">
        <v>165.91</v>
      </c>
      <c r="E1346" s="151" t="s">
        <v>7</v>
      </c>
      <c r="F1346" s="152">
        <v>200</v>
      </c>
      <c r="G1346" s="149"/>
    </row>
    <row r="1347" spans="1:7" ht="15.75" x14ac:dyDescent="0.3">
      <c r="A1347" s="148" t="s">
        <v>415</v>
      </c>
      <c r="B1347" s="149">
        <v>1132671</v>
      </c>
      <c r="C1347" s="148" t="s">
        <v>1519</v>
      </c>
      <c r="D1347" s="150">
        <v>225.87</v>
      </c>
      <c r="E1347" s="151" t="s">
        <v>7</v>
      </c>
      <c r="F1347" s="152">
        <v>100</v>
      </c>
      <c r="G1347" s="149"/>
    </row>
    <row r="1348" spans="1:7" ht="15.75" x14ac:dyDescent="0.3">
      <c r="A1348" s="148" t="s">
        <v>426</v>
      </c>
      <c r="B1348" s="149">
        <v>1018117</v>
      </c>
      <c r="C1348" s="148" t="s">
        <v>427</v>
      </c>
      <c r="D1348" s="150">
        <v>52.58</v>
      </c>
      <c r="E1348" s="151" t="s">
        <v>7</v>
      </c>
      <c r="F1348" s="152">
        <v>200</v>
      </c>
      <c r="G1348" s="149"/>
    </row>
    <row r="1349" spans="1:7" ht="15.75" x14ac:dyDescent="0.3">
      <c r="A1349" s="148" t="s">
        <v>426</v>
      </c>
      <c r="B1349" s="149">
        <v>1018118</v>
      </c>
      <c r="C1349" s="148" t="s">
        <v>1520</v>
      </c>
      <c r="D1349" s="150">
        <v>73.61</v>
      </c>
      <c r="E1349" s="151" t="s">
        <v>7</v>
      </c>
      <c r="F1349" s="152">
        <v>200</v>
      </c>
      <c r="G1349" s="149"/>
    </row>
    <row r="1350" spans="1:7" ht="15.75" x14ac:dyDescent="0.3">
      <c r="A1350" s="148" t="s">
        <v>426</v>
      </c>
      <c r="B1350" s="149">
        <v>1018119</v>
      </c>
      <c r="C1350" s="148" t="s">
        <v>1521</v>
      </c>
      <c r="D1350" s="150">
        <v>98.15</v>
      </c>
      <c r="E1350" s="151" t="s">
        <v>7</v>
      </c>
      <c r="F1350" s="152">
        <v>200</v>
      </c>
      <c r="G1350" s="149"/>
    </row>
    <row r="1351" spans="1:7" ht="15.75" x14ac:dyDescent="0.3">
      <c r="A1351" s="148" t="s">
        <v>426</v>
      </c>
      <c r="B1351" s="149">
        <v>1018120</v>
      </c>
      <c r="C1351" s="148" t="s">
        <v>1522</v>
      </c>
      <c r="D1351" s="150">
        <v>115.66</v>
      </c>
      <c r="E1351" s="151" t="s">
        <v>7</v>
      </c>
      <c r="F1351" s="152">
        <v>200</v>
      </c>
      <c r="G1351" s="149"/>
    </row>
    <row r="1352" spans="1:7" ht="15.75" x14ac:dyDescent="0.3">
      <c r="A1352" s="148" t="s">
        <v>426</v>
      </c>
      <c r="B1352" s="149">
        <v>1018121</v>
      </c>
      <c r="C1352" s="148" t="s">
        <v>1523</v>
      </c>
      <c r="D1352" s="150">
        <v>133.19999999999999</v>
      </c>
      <c r="E1352" s="151" t="s">
        <v>7</v>
      </c>
      <c r="F1352" s="152">
        <v>200</v>
      </c>
      <c r="G1352" s="149"/>
    </row>
    <row r="1353" spans="1:7" ht="15.75" x14ac:dyDescent="0.3">
      <c r="A1353" s="148" t="s">
        <v>426</v>
      </c>
      <c r="B1353" s="149">
        <v>1084885</v>
      </c>
      <c r="C1353" s="148" t="s">
        <v>1524</v>
      </c>
      <c r="D1353" s="150">
        <v>57.17</v>
      </c>
      <c r="E1353" s="151" t="s">
        <v>7</v>
      </c>
      <c r="F1353" s="152">
        <v>200</v>
      </c>
      <c r="G1353" s="149"/>
    </row>
    <row r="1354" spans="1:7" ht="15.75" x14ac:dyDescent="0.3">
      <c r="A1354" s="148" t="s">
        <v>426</v>
      </c>
      <c r="B1354" s="149">
        <v>1018139</v>
      </c>
      <c r="C1354" s="148" t="s">
        <v>428</v>
      </c>
      <c r="D1354" s="150">
        <v>77.12</v>
      </c>
      <c r="E1354" s="151" t="s">
        <v>7</v>
      </c>
      <c r="F1354" s="152">
        <v>200</v>
      </c>
      <c r="G1354" s="149"/>
    </row>
    <row r="1355" spans="1:7" ht="15.75" x14ac:dyDescent="0.3">
      <c r="A1355" s="148" t="s">
        <v>426</v>
      </c>
      <c r="B1355" s="149">
        <v>1084886</v>
      </c>
      <c r="C1355" s="148" t="s">
        <v>1525</v>
      </c>
      <c r="D1355" s="150">
        <v>82.899000000000001</v>
      </c>
      <c r="E1355" s="151" t="s">
        <v>7</v>
      </c>
      <c r="F1355" s="152">
        <v>200</v>
      </c>
      <c r="G1355" s="149"/>
    </row>
    <row r="1356" spans="1:7" ht="15.75" x14ac:dyDescent="0.3">
      <c r="A1356" s="148" t="s">
        <v>426</v>
      </c>
      <c r="B1356" s="149">
        <v>1018140</v>
      </c>
      <c r="C1356" s="148" t="s">
        <v>429</v>
      </c>
      <c r="D1356" s="150">
        <v>91.15</v>
      </c>
      <c r="E1356" s="151" t="s">
        <v>7</v>
      </c>
      <c r="F1356" s="152">
        <v>200</v>
      </c>
      <c r="G1356" s="149"/>
    </row>
    <row r="1357" spans="1:7" ht="15.75" x14ac:dyDescent="0.3">
      <c r="A1357" s="148" t="s">
        <v>426</v>
      </c>
      <c r="B1357" s="149">
        <v>1018141</v>
      </c>
      <c r="C1357" s="148" t="s">
        <v>1526</v>
      </c>
      <c r="D1357" s="150">
        <v>122.67</v>
      </c>
      <c r="E1357" s="151" t="s">
        <v>7</v>
      </c>
      <c r="F1357" s="152">
        <v>200</v>
      </c>
      <c r="G1357" s="149"/>
    </row>
    <row r="1358" spans="1:7" ht="15.75" x14ac:dyDescent="0.3">
      <c r="A1358" s="148" t="s">
        <v>426</v>
      </c>
      <c r="B1358" s="149">
        <v>1044015</v>
      </c>
      <c r="C1358" s="148" t="s">
        <v>1527</v>
      </c>
      <c r="D1358" s="150">
        <v>132.16</v>
      </c>
      <c r="E1358" s="151" t="s">
        <v>7</v>
      </c>
      <c r="F1358" s="152">
        <v>200</v>
      </c>
      <c r="G1358" s="149"/>
    </row>
    <row r="1359" spans="1:7" ht="15.75" x14ac:dyDescent="0.3">
      <c r="A1359" s="148" t="s">
        <v>426</v>
      </c>
      <c r="B1359" s="149">
        <v>1018142</v>
      </c>
      <c r="C1359" s="148" t="s">
        <v>1528</v>
      </c>
      <c r="D1359" s="150">
        <v>136.71</v>
      </c>
      <c r="E1359" s="151" t="s">
        <v>7</v>
      </c>
      <c r="F1359" s="152">
        <v>200</v>
      </c>
      <c r="G1359" s="149"/>
    </row>
    <row r="1360" spans="1:7" ht="15.75" x14ac:dyDescent="0.3">
      <c r="A1360" s="148" t="s">
        <v>426</v>
      </c>
      <c r="B1360" s="149">
        <v>1034188</v>
      </c>
      <c r="C1360" s="148" t="s">
        <v>1529</v>
      </c>
      <c r="D1360" s="150">
        <v>122.09</v>
      </c>
      <c r="E1360" s="151" t="s">
        <v>7</v>
      </c>
      <c r="F1360" s="152">
        <v>200</v>
      </c>
      <c r="G1360" s="149"/>
    </row>
    <row r="1361" spans="1:7" ht="15.75" x14ac:dyDescent="0.3">
      <c r="A1361" s="148" t="s">
        <v>426</v>
      </c>
      <c r="B1361" s="149">
        <v>1044016</v>
      </c>
      <c r="C1361" s="148" t="s">
        <v>1530</v>
      </c>
      <c r="D1361" s="150">
        <v>185.2</v>
      </c>
      <c r="E1361" s="151" t="s">
        <v>7</v>
      </c>
      <c r="F1361" s="152">
        <v>100</v>
      </c>
      <c r="G1361" s="149"/>
    </row>
    <row r="1362" spans="1:7" ht="15.75" x14ac:dyDescent="0.3">
      <c r="A1362" s="148" t="s">
        <v>426</v>
      </c>
      <c r="B1362" s="149">
        <v>1044013</v>
      </c>
      <c r="C1362" s="148" t="s">
        <v>1531</v>
      </c>
      <c r="D1362" s="150">
        <v>201.11</v>
      </c>
      <c r="E1362" s="151" t="s">
        <v>7</v>
      </c>
      <c r="F1362" s="152">
        <v>100</v>
      </c>
      <c r="G1362" s="149"/>
    </row>
    <row r="1363" spans="1:7" ht="15.75" x14ac:dyDescent="0.3">
      <c r="A1363" s="148" t="s">
        <v>430</v>
      </c>
      <c r="B1363" s="149">
        <v>1084887</v>
      </c>
      <c r="C1363" s="148" t="s">
        <v>1532</v>
      </c>
      <c r="D1363" s="150">
        <v>140.19999999999999</v>
      </c>
      <c r="E1363" s="151" t="s">
        <v>7</v>
      </c>
      <c r="F1363" s="152">
        <v>200</v>
      </c>
      <c r="G1363" s="149"/>
    </row>
    <row r="1364" spans="1:7" ht="15.75" x14ac:dyDescent="0.3">
      <c r="A1364" s="148" t="s">
        <v>430</v>
      </c>
      <c r="B1364" s="149">
        <v>1018147</v>
      </c>
      <c r="C1364" s="148" t="s">
        <v>1533</v>
      </c>
      <c r="D1364" s="150">
        <v>140.19999999999999</v>
      </c>
      <c r="E1364" s="151" t="s">
        <v>7</v>
      </c>
      <c r="F1364" s="152">
        <v>200</v>
      </c>
      <c r="G1364" s="149"/>
    </row>
    <row r="1365" spans="1:7" ht="15.75" x14ac:dyDescent="0.3">
      <c r="A1365" s="148" t="s">
        <v>430</v>
      </c>
      <c r="B1365" s="149">
        <v>1084888</v>
      </c>
      <c r="C1365" s="148" t="s">
        <v>1534</v>
      </c>
      <c r="D1365" s="150">
        <v>140.19999999999999</v>
      </c>
      <c r="E1365" s="151" t="s">
        <v>7</v>
      </c>
      <c r="F1365" s="152">
        <v>200</v>
      </c>
      <c r="G1365" s="149"/>
    </row>
    <row r="1366" spans="1:7" ht="15.75" x14ac:dyDescent="0.3">
      <c r="A1366" s="148" t="s">
        <v>430</v>
      </c>
      <c r="B1366" s="149">
        <v>1018148</v>
      </c>
      <c r="C1366" s="148" t="s">
        <v>1535</v>
      </c>
      <c r="D1366" s="150">
        <v>147.22</v>
      </c>
      <c r="E1366" s="151" t="s">
        <v>7</v>
      </c>
      <c r="F1366" s="152">
        <v>200</v>
      </c>
      <c r="G1366" s="149"/>
    </row>
    <row r="1367" spans="1:7" ht="15.75" x14ac:dyDescent="0.3">
      <c r="A1367" s="148" t="s">
        <v>430</v>
      </c>
      <c r="B1367" s="149">
        <v>1084889</v>
      </c>
      <c r="C1367" s="148" t="s">
        <v>1536</v>
      </c>
      <c r="D1367" s="150">
        <v>147.22</v>
      </c>
      <c r="E1367" s="151" t="s">
        <v>7</v>
      </c>
      <c r="F1367" s="152">
        <v>200</v>
      </c>
      <c r="G1367" s="149"/>
    </row>
    <row r="1368" spans="1:7" ht="15.75" x14ac:dyDescent="0.3">
      <c r="A1368" s="148" t="s">
        <v>430</v>
      </c>
      <c r="B1368" s="149">
        <v>1018149</v>
      </c>
      <c r="C1368" s="148" t="s">
        <v>1537</v>
      </c>
      <c r="D1368" s="150">
        <v>171.76</v>
      </c>
      <c r="E1368" s="151" t="s">
        <v>7</v>
      </c>
      <c r="F1368" s="152">
        <v>200</v>
      </c>
      <c r="G1368" s="149"/>
    </row>
    <row r="1369" spans="1:7" ht="15.75" x14ac:dyDescent="0.3">
      <c r="A1369" s="148" t="s">
        <v>430</v>
      </c>
      <c r="B1369" s="149">
        <v>1044018</v>
      </c>
      <c r="C1369" s="148" t="s">
        <v>1538</v>
      </c>
      <c r="D1369" s="150">
        <v>139</v>
      </c>
      <c r="E1369" s="151" t="s">
        <v>7</v>
      </c>
      <c r="F1369" s="152">
        <v>200</v>
      </c>
      <c r="G1369" s="149"/>
    </row>
    <row r="1370" spans="1:7" ht="15.75" x14ac:dyDescent="0.3">
      <c r="A1370" s="148" t="s">
        <v>430</v>
      </c>
      <c r="B1370" s="149">
        <v>1084890</v>
      </c>
      <c r="C1370" s="148" t="s">
        <v>1539</v>
      </c>
      <c r="D1370" s="150">
        <v>139</v>
      </c>
      <c r="E1370" s="151" t="s">
        <v>7</v>
      </c>
      <c r="F1370" s="152">
        <v>100</v>
      </c>
      <c r="G1370" s="149"/>
    </row>
    <row r="1371" spans="1:7" ht="15.75" x14ac:dyDescent="0.3">
      <c r="A1371" s="148" t="s">
        <v>430</v>
      </c>
      <c r="B1371" s="149">
        <v>1084891</v>
      </c>
      <c r="C1371" s="148" t="s">
        <v>1540</v>
      </c>
      <c r="D1371" s="150">
        <v>139</v>
      </c>
      <c r="E1371" s="151" t="s">
        <v>7</v>
      </c>
      <c r="F1371" s="152">
        <v>100</v>
      </c>
      <c r="G1371" s="149"/>
    </row>
    <row r="1372" spans="1:7" ht="15.75" x14ac:dyDescent="0.3">
      <c r="A1372" s="148" t="s">
        <v>430</v>
      </c>
      <c r="B1372" s="149">
        <v>1086836</v>
      </c>
      <c r="C1372" s="148" t="s">
        <v>1541</v>
      </c>
      <c r="D1372" s="150">
        <v>49.595999999999997</v>
      </c>
      <c r="E1372" s="151" t="s">
        <v>7</v>
      </c>
      <c r="F1372" s="152">
        <v>200</v>
      </c>
      <c r="G1372" s="149"/>
    </row>
    <row r="1373" spans="1:7" ht="15.75" x14ac:dyDescent="0.3">
      <c r="A1373" s="148" t="s">
        <v>430</v>
      </c>
      <c r="B1373" s="149">
        <v>1086837</v>
      </c>
      <c r="C1373" s="148" t="s">
        <v>1542</v>
      </c>
      <c r="D1373" s="150">
        <v>52.636000000000003</v>
      </c>
      <c r="E1373" s="151" t="s">
        <v>7</v>
      </c>
      <c r="F1373" s="152">
        <v>200</v>
      </c>
      <c r="G1373" s="149"/>
    </row>
    <row r="1374" spans="1:7" ht="15.75" x14ac:dyDescent="0.3">
      <c r="A1374" s="148" t="s">
        <v>430</v>
      </c>
      <c r="B1374" s="149">
        <v>1095572</v>
      </c>
      <c r="C1374" s="148" t="s">
        <v>1543</v>
      </c>
      <c r="D1374" s="150">
        <v>141.64599999999999</v>
      </c>
      <c r="E1374" s="151" t="s">
        <v>7</v>
      </c>
      <c r="F1374" s="152">
        <v>200</v>
      </c>
      <c r="G1374" s="149"/>
    </row>
    <row r="1375" spans="1:7" ht="15.75" x14ac:dyDescent="0.3">
      <c r="A1375" s="148" t="s">
        <v>431</v>
      </c>
      <c r="B1375" s="149">
        <v>1095722</v>
      </c>
      <c r="C1375" s="148" t="s">
        <v>1544</v>
      </c>
      <c r="D1375" s="150">
        <v>27.3</v>
      </c>
      <c r="E1375" s="151" t="s">
        <v>7</v>
      </c>
      <c r="F1375" s="152">
        <v>200</v>
      </c>
      <c r="G1375" s="149"/>
    </row>
    <row r="1376" spans="1:7" ht="15.75" x14ac:dyDescent="0.3">
      <c r="A1376" s="148" t="s">
        <v>431</v>
      </c>
      <c r="B1376" s="149">
        <v>1095723</v>
      </c>
      <c r="C1376" s="148" t="s">
        <v>1545</v>
      </c>
      <c r="D1376" s="150">
        <v>27.3</v>
      </c>
      <c r="E1376" s="151" t="s">
        <v>7</v>
      </c>
      <c r="F1376" s="152">
        <v>200</v>
      </c>
      <c r="G1376" s="149"/>
    </row>
    <row r="1377" spans="1:7" ht="15.75" x14ac:dyDescent="0.3">
      <c r="A1377" s="148" t="s">
        <v>431</v>
      </c>
      <c r="B1377" s="149">
        <v>1095724</v>
      </c>
      <c r="C1377" s="148" t="s">
        <v>1546</v>
      </c>
      <c r="D1377" s="150">
        <v>49.26</v>
      </c>
      <c r="E1377" s="151" t="s">
        <v>7</v>
      </c>
      <c r="F1377" s="152">
        <v>200</v>
      </c>
      <c r="G1377" s="149"/>
    </row>
    <row r="1378" spans="1:7" ht="15.75" x14ac:dyDescent="0.3">
      <c r="A1378" s="148" t="s">
        <v>431</v>
      </c>
      <c r="B1378" s="149">
        <v>1095725</v>
      </c>
      <c r="C1378" s="148" t="s">
        <v>1547</v>
      </c>
      <c r="D1378" s="150">
        <v>52.88</v>
      </c>
      <c r="E1378" s="151" t="s">
        <v>7</v>
      </c>
      <c r="F1378" s="152">
        <v>200</v>
      </c>
      <c r="G1378" s="149"/>
    </row>
    <row r="1379" spans="1:7" ht="15.75" x14ac:dyDescent="0.3">
      <c r="A1379" s="148" t="s">
        <v>431</v>
      </c>
      <c r="B1379" s="149">
        <v>1095726</v>
      </c>
      <c r="C1379" s="148" t="s">
        <v>1548</v>
      </c>
      <c r="D1379" s="150">
        <v>58.71</v>
      </c>
      <c r="E1379" s="151" t="s">
        <v>7</v>
      </c>
      <c r="F1379" s="152">
        <v>200</v>
      </c>
      <c r="G1379" s="149"/>
    </row>
    <row r="1380" spans="1:7" ht="15.75" x14ac:dyDescent="0.3">
      <c r="A1380" s="148" t="s">
        <v>431</v>
      </c>
      <c r="B1380" s="149">
        <v>1095727</v>
      </c>
      <c r="C1380" s="148" t="s">
        <v>1549</v>
      </c>
      <c r="D1380" s="150">
        <v>85.46</v>
      </c>
      <c r="E1380" s="151" t="s">
        <v>7</v>
      </c>
      <c r="F1380" s="152">
        <v>150</v>
      </c>
      <c r="G1380" s="149"/>
    </row>
    <row r="1381" spans="1:7" ht="15.75" x14ac:dyDescent="0.3">
      <c r="A1381" s="148" t="s">
        <v>431</v>
      </c>
      <c r="B1381" s="149">
        <v>1095728</v>
      </c>
      <c r="C1381" s="148" t="s">
        <v>1550</v>
      </c>
      <c r="D1381" s="150">
        <v>95.4</v>
      </c>
      <c r="E1381" s="151" t="s">
        <v>7</v>
      </c>
      <c r="F1381" s="152">
        <v>100</v>
      </c>
      <c r="G1381" s="149"/>
    </row>
    <row r="1382" spans="1:7" ht="15.75" x14ac:dyDescent="0.3">
      <c r="A1382" s="148" t="s">
        <v>431</v>
      </c>
      <c r="B1382" s="149">
        <v>1095729</v>
      </c>
      <c r="C1382" s="148" t="s">
        <v>1551</v>
      </c>
      <c r="D1382" s="150">
        <v>134.21</v>
      </c>
      <c r="E1382" s="151" t="s">
        <v>7</v>
      </c>
      <c r="F1382" s="152">
        <v>100</v>
      </c>
      <c r="G1382" s="149"/>
    </row>
    <row r="1383" spans="1:7" ht="15.75" x14ac:dyDescent="0.3">
      <c r="A1383" s="148" t="s">
        <v>432</v>
      </c>
      <c r="B1383" s="149">
        <v>1095730</v>
      </c>
      <c r="C1383" s="148" t="s">
        <v>1552</v>
      </c>
      <c r="D1383" s="150">
        <v>44.8</v>
      </c>
      <c r="E1383" s="151" t="s">
        <v>7</v>
      </c>
      <c r="F1383" s="152">
        <v>150</v>
      </c>
      <c r="G1383" s="149"/>
    </row>
    <row r="1384" spans="1:7" ht="15.75" x14ac:dyDescent="0.3">
      <c r="A1384" s="148" t="s">
        <v>432</v>
      </c>
      <c r="B1384" s="149">
        <v>1095731</v>
      </c>
      <c r="C1384" s="148" t="s">
        <v>1553</v>
      </c>
      <c r="D1384" s="150">
        <v>45.03</v>
      </c>
      <c r="E1384" s="151" t="s">
        <v>7</v>
      </c>
      <c r="F1384" s="152">
        <v>150</v>
      </c>
      <c r="G1384" s="149"/>
    </row>
    <row r="1385" spans="1:7" ht="15.75" x14ac:dyDescent="0.3">
      <c r="A1385" s="148" t="s">
        <v>432</v>
      </c>
      <c r="B1385" s="149">
        <v>1095732</v>
      </c>
      <c r="C1385" s="148" t="s">
        <v>1554</v>
      </c>
      <c r="D1385" s="150">
        <v>97.58</v>
      </c>
      <c r="E1385" s="151" t="s">
        <v>7</v>
      </c>
      <c r="F1385" s="152">
        <v>150</v>
      </c>
      <c r="G1385" s="149"/>
    </row>
    <row r="1386" spans="1:7" ht="15.75" x14ac:dyDescent="0.3">
      <c r="A1386" s="148" t="s">
        <v>432</v>
      </c>
      <c r="B1386" s="149">
        <v>1095733</v>
      </c>
      <c r="C1386" s="148" t="s">
        <v>1555</v>
      </c>
      <c r="D1386" s="150">
        <v>57.41</v>
      </c>
      <c r="E1386" s="151" t="s">
        <v>7</v>
      </c>
      <c r="F1386" s="152">
        <v>150</v>
      </c>
      <c r="G1386" s="149"/>
    </row>
    <row r="1387" spans="1:7" ht="15.75" x14ac:dyDescent="0.3">
      <c r="A1387" s="148" t="s">
        <v>432</v>
      </c>
      <c r="B1387" s="149">
        <v>1095734</v>
      </c>
      <c r="C1387" s="148" t="s">
        <v>1556</v>
      </c>
      <c r="D1387" s="150">
        <v>80.540000000000006</v>
      </c>
      <c r="E1387" s="151" t="s">
        <v>7</v>
      </c>
      <c r="F1387" s="152">
        <v>150</v>
      </c>
      <c r="G1387" s="149"/>
    </row>
    <row r="1388" spans="1:7" ht="15.75" x14ac:dyDescent="0.3">
      <c r="A1388" s="148" t="s">
        <v>432</v>
      </c>
      <c r="B1388" s="149">
        <v>1095735</v>
      </c>
      <c r="C1388" s="148" t="s">
        <v>1557</v>
      </c>
      <c r="D1388" s="150">
        <v>80.540000000000006</v>
      </c>
      <c r="E1388" s="151" t="s">
        <v>7</v>
      </c>
      <c r="F1388" s="152">
        <v>150</v>
      </c>
      <c r="G1388" s="149"/>
    </row>
    <row r="1389" spans="1:7" ht="15.75" x14ac:dyDescent="0.3">
      <c r="A1389" s="148" t="s">
        <v>432</v>
      </c>
      <c r="B1389" s="149">
        <v>1095736</v>
      </c>
      <c r="C1389" s="148" t="s">
        <v>1558</v>
      </c>
      <c r="D1389" s="150">
        <v>84.57</v>
      </c>
      <c r="E1389" s="151" t="s">
        <v>7</v>
      </c>
      <c r="F1389" s="152">
        <v>150</v>
      </c>
      <c r="G1389" s="149"/>
    </row>
    <row r="1390" spans="1:7" ht="15.75" x14ac:dyDescent="0.3">
      <c r="A1390" s="148" t="s">
        <v>432</v>
      </c>
      <c r="B1390" s="149">
        <v>1095737</v>
      </c>
      <c r="C1390" s="148" t="s">
        <v>1559</v>
      </c>
      <c r="D1390" s="150">
        <v>87.32</v>
      </c>
      <c r="E1390" s="151" t="s">
        <v>7</v>
      </c>
      <c r="F1390" s="152">
        <v>150</v>
      </c>
      <c r="G1390" s="149"/>
    </row>
    <row r="1391" spans="1:7" ht="15.75" x14ac:dyDescent="0.3">
      <c r="A1391" s="148" t="s">
        <v>432</v>
      </c>
      <c r="B1391" s="149">
        <v>1095738</v>
      </c>
      <c r="C1391" s="148" t="s">
        <v>1560</v>
      </c>
      <c r="D1391" s="150">
        <v>121.14</v>
      </c>
      <c r="E1391" s="151" t="s">
        <v>7</v>
      </c>
      <c r="F1391" s="152">
        <v>150</v>
      </c>
      <c r="G1391" s="149"/>
    </row>
    <row r="1392" spans="1:7" ht="15.75" x14ac:dyDescent="0.3">
      <c r="A1392" s="148" t="s">
        <v>432</v>
      </c>
      <c r="B1392" s="149">
        <v>1095739</v>
      </c>
      <c r="C1392" s="148" t="s">
        <v>1561</v>
      </c>
      <c r="D1392" s="150">
        <v>144.84</v>
      </c>
      <c r="E1392" s="151" t="s">
        <v>7</v>
      </c>
      <c r="F1392" s="152">
        <v>100</v>
      </c>
      <c r="G1392" s="149"/>
    </row>
    <row r="1393" spans="1:7" ht="15.75" x14ac:dyDescent="0.3">
      <c r="A1393" s="148" t="s">
        <v>432</v>
      </c>
      <c r="B1393" s="149">
        <v>1095740</v>
      </c>
      <c r="C1393" s="148" t="s">
        <v>1562</v>
      </c>
      <c r="D1393" s="150">
        <v>168.53</v>
      </c>
      <c r="E1393" s="151" t="s">
        <v>7</v>
      </c>
      <c r="F1393" s="152">
        <v>100</v>
      </c>
      <c r="G1393" s="149"/>
    </row>
    <row r="1394" spans="1:7" ht="15.75" x14ac:dyDescent="0.3">
      <c r="A1394" s="148" t="s">
        <v>432</v>
      </c>
      <c r="B1394" s="149">
        <v>1120124</v>
      </c>
      <c r="C1394" s="148" t="s">
        <v>1563</v>
      </c>
      <c r="D1394" s="150">
        <v>337.06</v>
      </c>
      <c r="E1394" s="151" t="s">
        <v>68</v>
      </c>
      <c r="F1394" s="152">
        <v>1</v>
      </c>
      <c r="G1394" s="149"/>
    </row>
    <row r="1395" spans="1:7" ht="15.75" x14ac:dyDescent="0.3">
      <c r="A1395" s="148" t="s">
        <v>432</v>
      </c>
      <c r="B1395" s="149">
        <v>1120125</v>
      </c>
      <c r="C1395" s="148" t="s">
        <v>1564</v>
      </c>
      <c r="D1395" s="150">
        <v>337.06</v>
      </c>
      <c r="E1395" s="151" t="s">
        <v>68</v>
      </c>
      <c r="F1395" s="152">
        <v>1</v>
      </c>
      <c r="G1395" s="149"/>
    </row>
    <row r="1396" spans="1:7" ht="15.75" x14ac:dyDescent="0.3">
      <c r="A1396" s="148" t="s">
        <v>432</v>
      </c>
      <c r="B1396" s="149">
        <v>1120126</v>
      </c>
      <c r="C1396" s="148" t="s">
        <v>1565</v>
      </c>
      <c r="D1396" s="150">
        <v>357.29</v>
      </c>
      <c r="E1396" s="151" t="s">
        <v>68</v>
      </c>
      <c r="F1396" s="152">
        <v>1</v>
      </c>
      <c r="G1396" s="149"/>
    </row>
    <row r="1397" spans="1:7" ht="15.75" x14ac:dyDescent="0.3">
      <c r="A1397" s="148" t="s">
        <v>432</v>
      </c>
      <c r="B1397" s="149">
        <v>1120127</v>
      </c>
      <c r="C1397" s="148" t="s">
        <v>1566</v>
      </c>
      <c r="D1397" s="150">
        <v>357.29</v>
      </c>
      <c r="E1397" s="151" t="s">
        <v>68</v>
      </c>
      <c r="F1397" s="152">
        <v>1</v>
      </c>
      <c r="G1397" s="149"/>
    </row>
    <row r="1398" spans="1:7" ht="15.75" x14ac:dyDescent="0.3">
      <c r="A1398" s="148" t="s">
        <v>432</v>
      </c>
      <c r="B1398" s="149">
        <v>1120128</v>
      </c>
      <c r="C1398" s="148" t="s">
        <v>1567</v>
      </c>
      <c r="D1398" s="150">
        <v>357.29</v>
      </c>
      <c r="E1398" s="151" t="s">
        <v>68</v>
      </c>
      <c r="F1398" s="152">
        <v>1</v>
      </c>
      <c r="G1398" s="149"/>
    </row>
    <row r="1399" spans="1:7" ht="15.75" x14ac:dyDescent="0.3">
      <c r="A1399" s="148" t="s">
        <v>432</v>
      </c>
      <c r="B1399" s="149">
        <v>1120123</v>
      </c>
      <c r="C1399" s="148" t="s">
        <v>1568</v>
      </c>
      <c r="D1399" s="150">
        <v>168.53</v>
      </c>
      <c r="E1399" s="151" t="s">
        <v>9</v>
      </c>
      <c r="F1399" s="152">
        <v>1</v>
      </c>
      <c r="G1399" s="149">
        <v>50</v>
      </c>
    </row>
    <row r="1400" spans="1:7" ht="15.75" x14ac:dyDescent="0.3">
      <c r="A1400" s="148" t="s">
        <v>432</v>
      </c>
      <c r="B1400" s="149">
        <v>1042310</v>
      </c>
      <c r="C1400" s="148" t="s">
        <v>1569</v>
      </c>
      <c r="D1400" s="150">
        <v>71.23</v>
      </c>
      <c r="E1400" s="151" t="s">
        <v>9</v>
      </c>
      <c r="F1400" s="152">
        <v>1</v>
      </c>
      <c r="G1400" s="149"/>
    </row>
    <row r="1401" spans="1:7" ht="15.75" x14ac:dyDescent="0.3">
      <c r="A1401" s="148" t="s">
        <v>432</v>
      </c>
      <c r="B1401" s="149">
        <v>1042311</v>
      </c>
      <c r="C1401" s="148" t="s">
        <v>1570</v>
      </c>
      <c r="D1401" s="150">
        <v>213.89</v>
      </c>
      <c r="E1401" s="151" t="s">
        <v>9</v>
      </c>
      <c r="F1401" s="152">
        <v>1</v>
      </c>
      <c r="G1401" s="149"/>
    </row>
    <row r="1402" spans="1:7" ht="15.75" x14ac:dyDescent="0.3">
      <c r="A1402" s="148" t="s">
        <v>432</v>
      </c>
      <c r="B1402" s="149">
        <v>1092257</v>
      </c>
      <c r="C1402" s="148" t="s">
        <v>1571</v>
      </c>
      <c r="D1402" s="150">
        <v>355.61</v>
      </c>
      <c r="E1402" s="151" t="s">
        <v>9</v>
      </c>
      <c r="F1402" s="152">
        <v>1</v>
      </c>
      <c r="G1402" s="149"/>
    </row>
    <row r="1403" spans="1:7" ht="15.75" x14ac:dyDescent="0.3">
      <c r="A1403" s="148" t="s">
        <v>432</v>
      </c>
      <c r="B1403" s="149">
        <v>1061641</v>
      </c>
      <c r="C1403" s="148" t="s">
        <v>1572</v>
      </c>
      <c r="D1403" s="150">
        <v>935.88</v>
      </c>
      <c r="E1403" s="151" t="s">
        <v>9</v>
      </c>
      <c r="F1403" s="152">
        <v>1</v>
      </c>
      <c r="G1403" s="149">
        <v>5</v>
      </c>
    </row>
    <row r="1404" spans="1:7" ht="15.75" x14ac:dyDescent="0.3">
      <c r="A1404" s="148" t="s">
        <v>432</v>
      </c>
      <c r="B1404" s="149">
        <v>1061642</v>
      </c>
      <c r="C1404" s="148" t="s">
        <v>1573</v>
      </c>
      <c r="D1404" s="150">
        <v>935.88</v>
      </c>
      <c r="E1404" s="151" t="s">
        <v>9</v>
      </c>
      <c r="F1404" s="152">
        <v>1</v>
      </c>
      <c r="G1404" s="149">
        <v>3</v>
      </c>
    </row>
    <row r="1405" spans="1:7" ht="15.75" x14ac:dyDescent="0.3">
      <c r="A1405" s="148" t="s">
        <v>111</v>
      </c>
      <c r="B1405" s="149">
        <v>1018328</v>
      </c>
      <c r="C1405" s="148" t="s">
        <v>1574</v>
      </c>
      <c r="D1405" s="150">
        <v>37.43</v>
      </c>
      <c r="E1405" s="151" t="s">
        <v>9</v>
      </c>
      <c r="F1405" s="152">
        <v>1</v>
      </c>
      <c r="G1405" s="149">
        <v>40</v>
      </c>
    </row>
    <row r="1406" spans="1:7" ht="15.75" x14ac:dyDescent="0.3">
      <c r="A1406" s="148" t="s">
        <v>111</v>
      </c>
      <c r="B1406" s="149">
        <v>1018329</v>
      </c>
      <c r="C1406" s="148" t="s">
        <v>1575</v>
      </c>
      <c r="D1406" s="150">
        <v>40.82</v>
      </c>
      <c r="E1406" s="151" t="s">
        <v>9</v>
      </c>
      <c r="F1406" s="152">
        <v>1</v>
      </c>
      <c r="G1406" s="149">
        <v>20</v>
      </c>
    </row>
    <row r="1407" spans="1:7" ht="15.75" x14ac:dyDescent="0.3">
      <c r="A1407" s="148" t="s">
        <v>111</v>
      </c>
      <c r="B1407" s="149">
        <v>1018330</v>
      </c>
      <c r="C1407" s="148" t="s">
        <v>1576</v>
      </c>
      <c r="D1407" s="150">
        <v>51.04</v>
      </c>
      <c r="E1407" s="151" t="s">
        <v>9</v>
      </c>
      <c r="F1407" s="152">
        <v>1</v>
      </c>
      <c r="G1407" s="149">
        <v>10</v>
      </c>
    </row>
    <row r="1408" spans="1:7" ht="15.75" x14ac:dyDescent="0.3">
      <c r="A1408" s="148" t="s">
        <v>111</v>
      </c>
      <c r="B1408" s="149">
        <v>1018331</v>
      </c>
      <c r="C1408" s="148" t="s">
        <v>1577</v>
      </c>
      <c r="D1408" s="150">
        <v>68.069999999999993</v>
      </c>
      <c r="E1408" s="151" t="s">
        <v>9</v>
      </c>
      <c r="F1408" s="152">
        <v>1</v>
      </c>
      <c r="G1408" s="149">
        <v>10</v>
      </c>
    </row>
    <row r="1409" spans="1:7" ht="15.75" x14ac:dyDescent="0.3">
      <c r="A1409" s="148" t="s">
        <v>111</v>
      </c>
      <c r="B1409" s="149">
        <v>1018332</v>
      </c>
      <c r="C1409" s="148" t="s">
        <v>1578</v>
      </c>
      <c r="D1409" s="150">
        <v>112.31</v>
      </c>
      <c r="E1409" s="151" t="s">
        <v>9</v>
      </c>
      <c r="F1409" s="152">
        <v>1</v>
      </c>
      <c r="G1409" s="149">
        <v>8</v>
      </c>
    </row>
    <row r="1410" spans="1:7" ht="15.75" x14ac:dyDescent="0.3">
      <c r="A1410" s="148" t="s">
        <v>111</v>
      </c>
      <c r="B1410" s="149">
        <v>1018333</v>
      </c>
      <c r="C1410" s="148" t="s">
        <v>1579</v>
      </c>
      <c r="D1410" s="150">
        <v>153.13999999999999</v>
      </c>
      <c r="E1410" s="151" t="s">
        <v>9</v>
      </c>
      <c r="F1410" s="152">
        <v>1</v>
      </c>
      <c r="G1410" s="149">
        <v>6</v>
      </c>
    </row>
    <row r="1411" spans="1:7" ht="15.75" x14ac:dyDescent="0.3">
      <c r="A1411" s="148" t="s">
        <v>111</v>
      </c>
      <c r="B1411" s="149">
        <v>1018334</v>
      </c>
      <c r="C1411" s="148" t="s">
        <v>1580</v>
      </c>
      <c r="D1411" s="150">
        <v>303.20999999999998</v>
      </c>
      <c r="E1411" s="151" t="s">
        <v>9</v>
      </c>
      <c r="F1411" s="152">
        <v>1</v>
      </c>
      <c r="G1411" s="149">
        <v>4</v>
      </c>
    </row>
    <row r="1412" spans="1:7" ht="15.75" x14ac:dyDescent="0.3">
      <c r="A1412" s="148" t="s">
        <v>111</v>
      </c>
      <c r="B1412" s="149">
        <v>1018335</v>
      </c>
      <c r="C1412" s="148" t="s">
        <v>1581</v>
      </c>
      <c r="D1412" s="150">
        <v>306.27</v>
      </c>
      <c r="E1412" s="151" t="s">
        <v>9</v>
      </c>
      <c r="F1412" s="152">
        <v>1</v>
      </c>
      <c r="G1412" s="149">
        <v>3</v>
      </c>
    </row>
    <row r="1413" spans="1:7" ht="15.75" x14ac:dyDescent="0.3">
      <c r="A1413" s="148" t="s">
        <v>111</v>
      </c>
      <c r="B1413" s="149">
        <v>1078368</v>
      </c>
      <c r="C1413" s="148" t="s">
        <v>1582</v>
      </c>
      <c r="D1413" s="150">
        <v>628.95000000000005</v>
      </c>
      <c r="E1413" s="151" t="s">
        <v>9</v>
      </c>
      <c r="F1413" s="152">
        <v>1</v>
      </c>
      <c r="G1413" s="149"/>
    </row>
    <row r="1414" spans="1:7" ht="15.75" x14ac:dyDescent="0.3">
      <c r="A1414" s="148" t="s">
        <v>111</v>
      </c>
      <c r="B1414" s="149">
        <v>1121647</v>
      </c>
      <c r="C1414" s="148" t="s">
        <v>1583</v>
      </c>
      <c r="D1414" s="150">
        <v>1151.78</v>
      </c>
      <c r="E1414" s="151" t="s">
        <v>9</v>
      </c>
      <c r="F1414" s="152">
        <v>1</v>
      </c>
      <c r="G1414" s="149"/>
    </row>
    <row r="1415" spans="1:7" ht="15.75" x14ac:dyDescent="0.3">
      <c r="A1415" s="148" t="s">
        <v>111</v>
      </c>
      <c r="B1415" s="149">
        <v>1121648</v>
      </c>
      <c r="C1415" s="148" t="s">
        <v>1584</v>
      </c>
      <c r="D1415" s="150">
        <v>1222.9000000000001</v>
      </c>
      <c r="E1415" s="151" t="s">
        <v>9</v>
      </c>
      <c r="F1415" s="152">
        <v>1</v>
      </c>
      <c r="G1415" s="149"/>
    </row>
    <row r="1416" spans="1:7" ht="15.75" x14ac:dyDescent="0.3">
      <c r="A1416" s="148" t="s">
        <v>111</v>
      </c>
      <c r="B1416" s="149">
        <v>1018336</v>
      </c>
      <c r="C1416" s="148" t="s">
        <v>1585</v>
      </c>
      <c r="D1416" s="150">
        <v>35.74</v>
      </c>
      <c r="E1416" s="151" t="s">
        <v>9</v>
      </c>
      <c r="F1416" s="152">
        <v>1</v>
      </c>
      <c r="G1416" s="149">
        <v>40</v>
      </c>
    </row>
    <row r="1417" spans="1:7" ht="15.75" x14ac:dyDescent="0.3">
      <c r="A1417" s="148" t="s">
        <v>111</v>
      </c>
      <c r="B1417" s="149">
        <v>1018338</v>
      </c>
      <c r="C1417" s="148" t="s">
        <v>1586</v>
      </c>
      <c r="D1417" s="150">
        <v>42.55</v>
      </c>
      <c r="E1417" s="151" t="s">
        <v>9</v>
      </c>
      <c r="F1417" s="152">
        <v>1</v>
      </c>
      <c r="G1417" s="149">
        <v>20</v>
      </c>
    </row>
    <row r="1418" spans="1:7" ht="15.75" x14ac:dyDescent="0.3">
      <c r="A1418" s="148" t="s">
        <v>111</v>
      </c>
      <c r="B1418" s="149">
        <v>1018339</v>
      </c>
      <c r="C1418" s="148" t="s">
        <v>1587</v>
      </c>
      <c r="D1418" s="150">
        <v>64.97</v>
      </c>
      <c r="E1418" s="151" t="s">
        <v>9</v>
      </c>
      <c r="F1418" s="152">
        <v>1</v>
      </c>
      <c r="G1418" s="149">
        <v>10</v>
      </c>
    </row>
    <row r="1419" spans="1:7" ht="15.75" x14ac:dyDescent="0.3">
      <c r="A1419" s="148" t="s">
        <v>111</v>
      </c>
      <c r="B1419" s="149">
        <v>1018340</v>
      </c>
      <c r="C1419" s="148" t="s">
        <v>1588</v>
      </c>
      <c r="D1419" s="150">
        <v>95.28</v>
      </c>
      <c r="E1419" s="151" t="s">
        <v>9</v>
      </c>
      <c r="F1419" s="152">
        <v>1</v>
      </c>
      <c r="G1419" s="149">
        <v>10</v>
      </c>
    </row>
    <row r="1420" spans="1:7" ht="15.75" x14ac:dyDescent="0.3">
      <c r="A1420" s="148" t="s">
        <v>111</v>
      </c>
      <c r="B1420" s="149">
        <v>1018341</v>
      </c>
      <c r="C1420" s="148" t="s">
        <v>1589</v>
      </c>
      <c r="D1420" s="150">
        <v>119.1</v>
      </c>
      <c r="E1420" s="151" t="s">
        <v>9</v>
      </c>
      <c r="F1420" s="152">
        <v>1</v>
      </c>
      <c r="G1420" s="149">
        <v>8</v>
      </c>
    </row>
    <row r="1421" spans="1:7" ht="15.75" x14ac:dyDescent="0.3">
      <c r="A1421" s="148" t="s">
        <v>111</v>
      </c>
      <c r="B1421" s="149">
        <v>1018342</v>
      </c>
      <c r="C1421" s="148" t="s">
        <v>1590</v>
      </c>
      <c r="D1421" s="150">
        <v>260.58999999999997</v>
      </c>
      <c r="E1421" s="151" t="s">
        <v>9</v>
      </c>
      <c r="F1421" s="152">
        <v>1</v>
      </c>
      <c r="G1421" s="149">
        <v>6</v>
      </c>
    </row>
    <row r="1422" spans="1:7" ht="15.75" x14ac:dyDescent="0.3">
      <c r="A1422" s="148" t="s">
        <v>111</v>
      </c>
      <c r="B1422" s="149">
        <v>1018343</v>
      </c>
      <c r="C1422" s="148" t="s">
        <v>1591</v>
      </c>
      <c r="D1422" s="150">
        <v>314.39999999999998</v>
      </c>
      <c r="E1422" s="151" t="s">
        <v>9</v>
      </c>
      <c r="F1422" s="152">
        <v>1</v>
      </c>
      <c r="G1422" s="149">
        <v>4</v>
      </c>
    </row>
    <row r="1423" spans="1:7" ht="15.75" x14ac:dyDescent="0.3">
      <c r="A1423" s="148" t="s">
        <v>111</v>
      </c>
      <c r="B1423" s="149">
        <v>1023170</v>
      </c>
      <c r="C1423" s="148" t="s">
        <v>1592</v>
      </c>
      <c r="D1423" s="150">
        <v>452.64</v>
      </c>
      <c r="E1423" s="151" t="s">
        <v>9</v>
      </c>
      <c r="F1423" s="152">
        <v>1</v>
      </c>
      <c r="G1423" s="149">
        <v>3</v>
      </c>
    </row>
    <row r="1424" spans="1:7" ht="15.75" x14ac:dyDescent="0.3">
      <c r="A1424" s="148" t="s">
        <v>111</v>
      </c>
      <c r="B1424" s="149">
        <v>1042972</v>
      </c>
      <c r="C1424" s="148" t="s">
        <v>1593</v>
      </c>
      <c r="D1424" s="150">
        <v>118.72</v>
      </c>
      <c r="E1424" s="151" t="s">
        <v>9</v>
      </c>
      <c r="F1424" s="152">
        <v>1</v>
      </c>
      <c r="G1424" s="149">
        <v>30</v>
      </c>
    </row>
    <row r="1425" spans="1:7" ht="15.75" x14ac:dyDescent="0.3">
      <c r="A1425" s="148" t="s">
        <v>111</v>
      </c>
      <c r="B1425" s="149">
        <v>1042973</v>
      </c>
      <c r="C1425" s="148" t="s">
        <v>1594</v>
      </c>
      <c r="D1425" s="150">
        <v>134.54</v>
      </c>
      <c r="E1425" s="151" t="s">
        <v>9</v>
      </c>
      <c r="F1425" s="152">
        <v>1</v>
      </c>
      <c r="G1425" s="149">
        <v>25</v>
      </c>
    </row>
    <row r="1426" spans="1:7" ht="15.75" x14ac:dyDescent="0.3">
      <c r="A1426" s="148" t="s">
        <v>111</v>
      </c>
      <c r="B1426" s="149">
        <v>1042980</v>
      </c>
      <c r="C1426" s="148" t="s">
        <v>1595</v>
      </c>
      <c r="D1426" s="150">
        <v>158.27000000000001</v>
      </c>
      <c r="E1426" s="151" t="s">
        <v>9</v>
      </c>
      <c r="F1426" s="152">
        <v>1</v>
      </c>
      <c r="G1426" s="149">
        <v>15</v>
      </c>
    </row>
    <row r="1427" spans="1:7" ht="15.75" x14ac:dyDescent="0.3">
      <c r="A1427" s="148" t="s">
        <v>111</v>
      </c>
      <c r="B1427" s="149">
        <v>1042984</v>
      </c>
      <c r="C1427" s="148" t="s">
        <v>1596</v>
      </c>
      <c r="D1427" s="150">
        <v>197.85</v>
      </c>
      <c r="E1427" s="151" t="s">
        <v>9</v>
      </c>
      <c r="F1427" s="152">
        <v>1</v>
      </c>
      <c r="G1427" s="149">
        <v>10</v>
      </c>
    </row>
    <row r="1428" spans="1:7" ht="15.75" x14ac:dyDescent="0.3">
      <c r="A1428" s="148" t="s">
        <v>111</v>
      </c>
      <c r="B1428" s="149">
        <v>1042981</v>
      </c>
      <c r="C1428" s="148" t="s">
        <v>1597</v>
      </c>
      <c r="D1428" s="150">
        <v>257.2</v>
      </c>
      <c r="E1428" s="151" t="s">
        <v>9</v>
      </c>
      <c r="F1428" s="152">
        <v>1</v>
      </c>
      <c r="G1428" s="149">
        <v>5</v>
      </c>
    </row>
    <row r="1429" spans="1:7" ht="15.75" x14ac:dyDescent="0.3">
      <c r="A1429" s="148" t="s">
        <v>111</v>
      </c>
      <c r="B1429" s="149">
        <v>1042985</v>
      </c>
      <c r="C1429" s="148" t="s">
        <v>1598</v>
      </c>
      <c r="D1429" s="150">
        <v>427.35</v>
      </c>
      <c r="E1429" s="151" t="s">
        <v>9</v>
      </c>
      <c r="F1429" s="152">
        <v>1</v>
      </c>
      <c r="G1429" s="149">
        <v>3</v>
      </c>
    </row>
    <row r="1430" spans="1:7" ht="15.75" x14ac:dyDescent="0.3">
      <c r="A1430" s="148" t="s">
        <v>111</v>
      </c>
      <c r="B1430" s="149">
        <v>1042986</v>
      </c>
      <c r="C1430" s="148" t="s">
        <v>1599</v>
      </c>
      <c r="D1430" s="150">
        <v>554</v>
      </c>
      <c r="E1430" s="151" t="s">
        <v>9</v>
      </c>
      <c r="F1430" s="152">
        <v>1</v>
      </c>
      <c r="G1430" s="149">
        <v>4</v>
      </c>
    </row>
    <row r="1431" spans="1:7" ht="15.75" x14ac:dyDescent="0.3">
      <c r="A1431" s="148" t="s">
        <v>111</v>
      </c>
      <c r="B1431" s="149">
        <v>1042987</v>
      </c>
      <c r="C1431" s="148" t="s">
        <v>1600</v>
      </c>
      <c r="D1431" s="150">
        <v>692.52</v>
      </c>
      <c r="E1431" s="151" t="s">
        <v>9</v>
      </c>
      <c r="F1431" s="152">
        <v>1</v>
      </c>
      <c r="G1431" s="149">
        <v>2</v>
      </c>
    </row>
    <row r="1432" spans="1:7" ht="15.75" x14ac:dyDescent="0.3">
      <c r="A1432" s="148" t="s">
        <v>111</v>
      </c>
      <c r="B1432" s="149">
        <v>1078365</v>
      </c>
      <c r="C1432" s="148" t="s">
        <v>1601</v>
      </c>
      <c r="D1432" s="150">
        <v>879.04</v>
      </c>
      <c r="E1432" s="151" t="s">
        <v>9</v>
      </c>
      <c r="F1432" s="152">
        <v>1</v>
      </c>
      <c r="G1432" s="149"/>
    </row>
    <row r="1433" spans="1:7" ht="15.75" x14ac:dyDescent="0.3">
      <c r="A1433" s="148" t="s">
        <v>111</v>
      </c>
      <c r="B1433" s="149">
        <v>1121635</v>
      </c>
      <c r="C1433" s="148" t="s">
        <v>1602</v>
      </c>
      <c r="D1433" s="150">
        <v>1333.61</v>
      </c>
      <c r="E1433" s="151" t="s">
        <v>9</v>
      </c>
      <c r="F1433" s="152">
        <v>1</v>
      </c>
      <c r="G1433" s="149"/>
    </row>
    <row r="1434" spans="1:7" ht="15.75" x14ac:dyDescent="0.3">
      <c r="A1434" s="148" t="s">
        <v>111</v>
      </c>
      <c r="B1434" s="149">
        <v>1121636</v>
      </c>
      <c r="C1434" s="148" t="s">
        <v>1603</v>
      </c>
      <c r="D1434" s="150">
        <v>1452.18</v>
      </c>
      <c r="E1434" s="151" t="s">
        <v>9</v>
      </c>
      <c r="F1434" s="152">
        <v>1</v>
      </c>
      <c r="G1434" s="149"/>
    </row>
    <row r="1435" spans="1:7" ht="15.75" x14ac:dyDescent="0.3">
      <c r="A1435" s="148" t="s">
        <v>111</v>
      </c>
      <c r="B1435" s="149">
        <v>1042970</v>
      </c>
      <c r="C1435" s="148" t="s">
        <v>1604</v>
      </c>
      <c r="D1435" s="150">
        <v>71.83</v>
      </c>
      <c r="E1435" s="151" t="s">
        <v>9</v>
      </c>
      <c r="F1435" s="152">
        <v>1</v>
      </c>
      <c r="G1435" s="149">
        <v>40</v>
      </c>
    </row>
    <row r="1436" spans="1:7" ht="15.75" x14ac:dyDescent="0.3">
      <c r="A1436" s="148" t="s">
        <v>111</v>
      </c>
      <c r="B1436" s="149">
        <v>1042974</v>
      </c>
      <c r="C1436" s="148" t="s">
        <v>1605</v>
      </c>
      <c r="D1436" s="150">
        <v>80.87</v>
      </c>
      <c r="E1436" s="151" t="s">
        <v>9</v>
      </c>
      <c r="F1436" s="152">
        <v>1</v>
      </c>
      <c r="G1436" s="149">
        <v>25</v>
      </c>
    </row>
    <row r="1437" spans="1:7" ht="15.75" x14ac:dyDescent="0.3">
      <c r="A1437" s="148" t="s">
        <v>111</v>
      </c>
      <c r="B1437" s="149">
        <v>1042979</v>
      </c>
      <c r="C1437" s="148" t="s">
        <v>1606</v>
      </c>
      <c r="D1437" s="150">
        <v>159.94999999999999</v>
      </c>
      <c r="E1437" s="151" t="s">
        <v>9</v>
      </c>
      <c r="F1437" s="152">
        <v>1</v>
      </c>
      <c r="G1437" s="149">
        <v>15</v>
      </c>
    </row>
    <row r="1438" spans="1:7" ht="15.75" x14ac:dyDescent="0.3">
      <c r="A1438" s="148" t="s">
        <v>111</v>
      </c>
      <c r="B1438" s="149">
        <v>1042983</v>
      </c>
      <c r="C1438" s="148" t="s">
        <v>1607</v>
      </c>
      <c r="D1438" s="150">
        <v>200.8</v>
      </c>
      <c r="E1438" s="151" t="s">
        <v>9</v>
      </c>
      <c r="F1438" s="152">
        <v>1</v>
      </c>
      <c r="G1438" s="149">
        <v>10</v>
      </c>
    </row>
    <row r="1439" spans="1:7" ht="15.75" x14ac:dyDescent="0.3">
      <c r="A1439" s="148" t="s">
        <v>111</v>
      </c>
      <c r="B1439" s="149">
        <v>1042982</v>
      </c>
      <c r="C1439" s="148" t="s">
        <v>1608</v>
      </c>
      <c r="D1439" s="150">
        <v>258.64999999999998</v>
      </c>
      <c r="E1439" s="151" t="s">
        <v>9</v>
      </c>
      <c r="F1439" s="152">
        <v>1</v>
      </c>
      <c r="G1439" s="149">
        <v>4</v>
      </c>
    </row>
    <row r="1440" spans="1:7" ht="15.75" x14ac:dyDescent="0.3">
      <c r="A1440" s="148" t="s">
        <v>111</v>
      </c>
      <c r="B1440" s="149">
        <v>1018345</v>
      </c>
      <c r="C1440" s="148" t="s">
        <v>1609</v>
      </c>
      <c r="D1440" s="150">
        <v>40.82</v>
      </c>
      <c r="E1440" s="151" t="s">
        <v>9</v>
      </c>
      <c r="F1440" s="152">
        <v>1</v>
      </c>
      <c r="G1440" s="149">
        <v>20</v>
      </c>
    </row>
    <row r="1441" spans="1:7" ht="15.75" x14ac:dyDescent="0.3">
      <c r="A1441" s="148" t="s">
        <v>111</v>
      </c>
      <c r="B1441" s="149">
        <v>1018346</v>
      </c>
      <c r="C1441" s="148" t="s">
        <v>1610</v>
      </c>
      <c r="D1441" s="150">
        <v>60.29</v>
      </c>
      <c r="E1441" s="151" t="s">
        <v>9</v>
      </c>
      <c r="F1441" s="152">
        <v>1</v>
      </c>
      <c r="G1441" s="149">
        <v>10</v>
      </c>
    </row>
    <row r="1442" spans="1:7" ht="15.75" x14ac:dyDescent="0.3">
      <c r="A1442" s="148" t="s">
        <v>111</v>
      </c>
      <c r="B1442" s="149">
        <v>1018347</v>
      </c>
      <c r="C1442" s="148" t="s">
        <v>1611</v>
      </c>
      <c r="D1442" s="150">
        <v>91.89</v>
      </c>
      <c r="E1442" s="151" t="s">
        <v>9</v>
      </c>
      <c r="F1442" s="152">
        <v>1</v>
      </c>
      <c r="G1442" s="149">
        <v>4</v>
      </c>
    </row>
    <row r="1443" spans="1:7" ht="15.75" x14ac:dyDescent="0.3">
      <c r="A1443" s="148" t="s">
        <v>111</v>
      </c>
      <c r="B1443" s="149">
        <v>1018348</v>
      </c>
      <c r="C1443" s="148" t="s">
        <v>1612</v>
      </c>
      <c r="D1443" s="150">
        <v>204.2</v>
      </c>
      <c r="E1443" s="151" t="s">
        <v>9</v>
      </c>
      <c r="F1443" s="152">
        <v>1</v>
      </c>
      <c r="G1443" s="149">
        <v>3</v>
      </c>
    </row>
    <row r="1444" spans="1:7" ht="15.75" x14ac:dyDescent="0.3">
      <c r="A1444" s="148" t="s">
        <v>111</v>
      </c>
      <c r="B1444" s="149">
        <v>1078367</v>
      </c>
      <c r="C1444" s="148" t="s">
        <v>1613</v>
      </c>
      <c r="D1444" s="150">
        <v>278.79000000000002</v>
      </c>
      <c r="E1444" s="151" t="s">
        <v>9</v>
      </c>
      <c r="F1444" s="152">
        <v>1</v>
      </c>
      <c r="G1444" s="149"/>
    </row>
    <row r="1445" spans="1:7" ht="15.75" x14ac:dyDescent="0.3">
      <c r="A1445" s="148" t="s">
        <v>111</v>
      </c>
      <c r="B1445" s="149">
        <v>1121637</v>
      </c>
      <c r="C1445" s="148" t="s">
        <v>1614</v>
      </c>
      <c r="D1445" s="150">
        <v>815.26</v>
      </c>
      <c r="E1445" s="151" t="s">
        <v>9</v>
      </c>
      <c r="F1445" s="152">
        <v>1</v>
      </c>
      <c r="G1445" s="149"/>
    </row>
    <row r="1446" spans="1:7" ht="15.75" x14ac:dyDescent="0.3">
      <c r="A1446" s="148" t="s">
        <v>111</v>
      </c>
      <c r="B1446" s="149">
        <v>1018350</v>
      </c>
      <c r="C1446" s="148" t="s">
        <v>1615</v>
      </c>
      <c r="D1446" s="150">
        <v>48.36</v>
      </c>
      <c r="E1446" s="151" t="s">
        <v>9</v>
      </c>
      <c r="F1446" s="152">
        <v>1</v>
      </c>
      <c r="G1446" s="149">
        <v>20</v>
      </c>
    </row>
    <row r="1447" spans="1:7" ht="15.75" x14ac:dyDescent="0.3">
      <c r="A1447" s="148" t="s">
        <v>111</v>
      </c>
      <c r="B1447" s="149">
        <v>1018351</v>
      </c>
      <c r="C1447" s="148" t="s">
        <v>1616</v>
      </c>
      <c r="D1447" s="150">
        <v>58.58</v>
      </c>
      <c r="E1447" s="151" t="s">
        <v>9</v>
      </c>
      <c r="F1447" s="152">
        <v>1</v>
      </c>
      <c r="G1447" s="149">
        <v>15</v>
      </c>
    </row>
    <row r="1448" spans="1:7" ht="15.75" x14ac:dyDescent="0.3">
      <c r="A1448" s="148" t="s">
        <v>111</v>
      </c>
      <c r="B1448" s="149">
        <v>1018352</v>
      </c>
      <c r="C1448" s="148" t="s">
        <v>1617</v>
      </c>
      <c r="D1448" s="150">
        <v>96.98</v>
      </c>
      <c r="E1448" s="151" t="s">
        <v>9</v>
      </c>
      <c r="F1448" s="152">
        <v>1</v>
      </c>
      <c r="G1448" s="149">
        <v>5</v>
      </c>
    </row>
    <row r="1449" spans="1:7" ht="15.75" x14ac:dyDescent="0.3">
      <c r="A1449" s="148" t="s">
        <v>111</v>
      </c>
      <c r="B1449" s="149">
        <v>1018353</v>
      </c>
      <c r="C1449" s="148" t="s">
        <v>1618</v>
      </c>
      <c r="D1449" s="150">
        <v>216.55</v>
      </c>
      <c r="E1449" s="151" t="s">
        <v>9</v>
      </c>
      <c r="F1449" s="152">
        <v>1</v>
      </c>
      <c r="G1449" s="149">
        <v>2</v>
      </c>
    </row>
    <row r="1450" spans="1:7" ht="15.75" x14ac:dyDescent="0.3">
      <c r="A1450" s="148" t="s">
        <v>111</v>
      </c>
      <c r="B1450" s="149">
        <v>1078366</v>
      </c>
      <c r="C1450" s="148" t="s">
        <v>1619</v>
      </c>
      <c r="D1450" s="150">
        <v>276.10000000000002</v>
      </c>
      <c r="E1450" s="151" t="s">
        <v>9</v>
      </c>
      <c r="F1450" s="152">
        <v>1</v>
      </c>
      <c r="G1450" s="149"/>
    </row>
    <row r="1451" spans="1:7" ht="15.75" x14ac:dyDescent="0.3">
      <c r="A1451" s="148" t="s">
        <v>111</v>
      </c>
      <c r="B1451" s="149">
        <v>1121638</v>
      </c>
      <c r="C1451" s="148" t="s">
        <v>1620</v>
      </c>
      <c r="D1451" s="150">
        <v>815.26</v>
      </c>
      <c r="E1451" s="151" t="s">
        <v>9</v>
      </c>
      <c r="F1451" s="152">
        <v>1</v>
      </c>
      <c r="G1451" s="149"/>
    </row>
    <row r="1452" spans="1:7" ht="15.75" x14ac:dyDescent="0.3">
      <c r="A1452" s="148" t="s">
        <v>111</v>
      </c>
      <c r="B1452" s="149">
        <v>1018355</v>
      </c>
      <c r="C1452" s="148" t="s">
        <v>1621</v>
      </c>
      <c r="D1452" s="150">
        <v>28.14</v>
      </c>
      <c r="E1452" s="151" t="s">
        <v>9</v>
      </c>
      <c r="F1452" s="152">
        <v>1</v>
      </c>
      <c r="G1452" s="149">
        <v>40</v>
      </c>
    </row>
    <row r="1453" spans="1:7" ht="15.75" x14ac:dyDescent="0.3">
      <c r="A1453" s="148" t="s">
        <v>111</v>
      </c>
      <c r="B1453" s="149">
        <v>1018356</v>
      </c>
      <c r="C1453" s="148" t="s">
        <v>1622</v>
      </c>
      <c r="D1453" s="150">
        <v>62.7</v>
      </c>
      <c r="E1453" s="151" t="s">
        <v>9</v>
      </c>
      <c r="F1453" s="152">
        <v>1</v>
      </c>
      <c r="G1453" s="149">
        <v>25</v>
      </c>
    </row>
    <row r="1454" spans="1:7" ht="15.75" x14ac:dyDescent="0.3">
      <c r="A1454" s="148" t="s">
        <v>111</v>
      </c>
      <c r="B1454" s="149">
        <v>1018357</v>
      </c>
      <c r="C1454" s="148" t="s">
        <v>1623</v>
      </c>
      <c r="D1454" s="150">
        <v>73.88</v>
      </c>
      <c r="E1454" s="151" t="s">
        <v>9</v>
      </c>
      <c r="F1454" s="152">
        <v>1</v>
      </c>
      <c r="G1454" s="149">
        <v>15</v>
      </c>
    </row>
    <row r="1455" spans="1:7" ht="15.75" x14ac:dyDescent="0.3">
      <c r="A1455" s="148" t="s">
        <v>111</v>
      </c>
      <c r="B1455" s="149">
        <v>1018358</v>
      </c>
      <c r="C1455" s="148" t="s">
        <v>1624</v>
      </c>
      <c r="D1455" s="150">
        <v>129.79</v>
      </c>
      <c r="E1455" s="151" t="s">
        <v>9</v>
      </c>
      <c r="F1455" s="152">
        <v>1</v>
      </c>
      <c r="G1455" s="149">
        <v>10</v>
      </c>
    </row>
    <row r="1456" spans="1:7" ht="15.75" x14ac:dyDescent="0.3">
      <c r="A1456" s="148" t="s">
        <v>111</v>
      </c>
      <c r="B1456" s="149">
        <v>1018368</v>
      </c>
      <c r="C1456" s="148" t="s">
        <v>1625</v>
      </c>
      <c r="D1456" s="150">
        <v>33.54</v>
      </c>
      <c r="E1456" s="151" t="s">
        <v>9</v>
      </c>
      <c r="F1456" s="152">
        <v>1</v>
      </c>
      <c r="G1456" s="149">
        <v>25</v>
      </c>
    </row>
    <row r="1457" spans="1:7" ht="15.75" x14ac:dyDescent="0.3">
      <c r="A1457" s="148" t="s">
        <v>111</v>
      </c>
      <c r="B1457" s="149">
        <v>1018369</v>
      </c>
      <c r="C1457" s="148" t="s">
        <v>1626</v>
      </c>
      <c r="D1457" s="150">
        <v>73.010000000000005</v>
      </c>
      <c r="E1457" s="151" t="s">
        <v>9</v>
      </c>
      <c r="F1457" s="152">
        <v>1</v>
      </c>
      <c r="G1457" s="149">
        <v>25</v>
      </c>
    </row>
    <row r="1458" spans="1:7" ht="15.75" x14ac:dyDescent="0.3">
      <c r="A1458" s="148" t="s">
        <v>111</v>
      </c>
      <c r="B1458" s="149">
        <v>1018371</v>
      </c>
      <c r="C1458" s="148" t="s">
        <v>1627</v>
      </c>
      <c r="D1458" s="150">
        <v>130.52000000000001</v>
      </c>
      <c r="E1458" s="151" t="s">
        <v>9</v>
      </c>
      <c r="F1458" s="152">
        <v>1</v>
      </c>
      <c r="G1458" s="149">
        <v>15</v>
      </c>
    </row>
    <row r="1459" spans="1:7" ht="15.75" x14ac:dyDescent="0.3">
      <c r="A1459" s="148" t="s">
        <v>111</v>
      </c>
      <c r="B1459" s="149">
        <v>1018372</v>
      </c>
      <c r="C1459" s="148" t="s">
        <v>1628</v>
      </c>
      <c r="D1459" s="150">
        <v>132.96</v>
      </c>
      <c r="E1459" s="151" t="s">
        <v>9</v>
      </c>
      <c r="F1459" s="152">
        <v>1</v>
      </c>
      <c r="G1459" s="149">
        <v>15</v>
      </c>
    </row>
    <row r="1460" spans="1:7" ht="15.75" x14ac:dyDescent="0.3">
      <c r="A1460" s="148" t="s">
        <v>111</v>
      </c>
      <c r="B1460" s="149">
        <v>1018373</v>
      </c>
      <c r="C1460" s="148" t="s">
        <v>1629</v>
      </c>
      <c r="D1460" s="150">
        <v>168.46</v>
      </c>
      <c r="E1460" s="151" t="s">
        <v>9</v>
      </c>
      <c r="F1460" s="152">
        <v>1</v>
      </c>
      <c r="G1460" s="149">
        <v>6</v>
      </c>
    </row>
    <row r="1461" spans="1:7" ht="15.75" x14ac:dyDescent="0.3">
      <c r="A1461" s="148" t="s">
        <v>111</v>
      </c>
      <c r="B1461" s="149">
        <v>1018374</v>
      </c>
      <c r="C1461" s="148" t="s">
        <v>1630</v>
      </c>
      <c r="D1461" s="150">
        <v>190.27</v>
      </c>
      <c r="E1461" s="151" t="s">
        <v>9</v>
      </c>
      <c r="F1461" s="152">
        <v>1</v>
      </c>
      <c r="G1461" s="149">
        <v>6</v>
      </c>
    </row>
    <row r="1462" spans="1:7" ht="15.75" x14ac:dyDescent="0.3">
      <c r="A1462" s="148" t="s">
        <v>111</v>
      </c>
      <c r="B1462" s="149">
        <v>1018375</v>
      </c>
      <c r="C1462" s="148" t="s">
        <v>1631</v>
      </c>
      <c r="D1462" s="150">
        <v>193.41</v>
      </c>
      <c r="E1462" s="151" t="s">
        <v>9</v>
      </c>
      <c r="F1462" s="152">
        <v>1</v>
      </c>
      <c r="G1462" s="149">
        <v>10</v>
      </c>
    </row>
    <row r="1463" spans="1:7" ht="15.75" x14ac:dyDescent="0.3">
      <c r="A1463" s="148" t="s">
        <v>111</v>
      </c>
      <c r="B1463" s="149">
        <v>1018376</v>
      </c>
      <c r="C1463" s="148" t="s">
        <v>1632</v>
      </c>
      <c r="D1463" s="150">
        <v>193.41</v>
      </c>
      <c r="E1463" s="151" t="s">
        <v>9</v>
      </c>
      <c r="F1463" s="152">
        <v>1</v>
      </c>
      <c r="G1463" s="149">
        <v>10</v>
      </c>
    </row>
    <row r="1464" spans="1:7" ht="15.75" x14ac:dyDescent="0.3">
      <c r="A1464" s="148" t="s">
        <v>111</v>
      </c>
      <c r="B1464" s="149">
        <v>1009052</v>
      </c>
      <c r="C1464" s="148" t="s">
        <v>1633</v>
      </c>
      <c r="D1464" s="150">
        <v>304.57</v>
      </c>
      <c r="E1464" s="151" t="s">
        <v>9</v>
      </c>
      <c r="F1464" s="152">
        <v>1</v>
      </c>
      <c r="G1464" s="149">
        <v>6</v>
      </c>
    </row>
    <row r="1465" spans="1:7" ht="15.75" x14ac:dyDescent="0.3">
      <c r="A1465" s="148" t="s">
        <v>111</v>
      </c>
      <c r="B1465" s="149">
        <v>1078369</v>
      </c>
      <c r="C1465" s="148" t="s">
        <v>1634</v>
      </c>
      <c r="D1465" s="150">
        <v>217.88</v>
      </c>
      <c r="E1465" s="151" t="s">
        <v>9</v>
      </c>
      <c r="F1465" s="152">
        <v>1</v>
      </c>
      <c r="G1465" s="149">
        <v>6</v>
      </c>
    </row>
    <row r="1466" spans="1:7" ht="15.75" x14ac:dyDescent="0.3">
      <c r="A1466" s="148" t="s">
        <v>111</v>
      </c>
      <c r="B1466" s="149">
        <v>1121639</v>
      </c>
      <c r="C1466" s="148" t="s">
        <v>1635</v>
      </c>
      <c r="D1466" s="150">
        <v>458.58600000000001</v>
      </c>
      <c r="E1466" s="151" t="s">
        <v>9</v>
      </c>
      <c r="F1466" s="152">
        <v>1</v>
      </c>
      <c r="G1466" s="149"/>
    </row>
    <row r="1467" spans="1:7" ht="15.75" x14ac:dyDescent="0.3">
      <c r="A1467" s="148" t="s">
        <v>111</v>
      </c>
      <c r="B1467" s="149">
        <v>1018359</v>
      </c>
      <c r="C1467" s="148" t="s">
        <v>1636</v>
      </c>
      <c r="D1467" s="150">
        <v>280.95999999999998</v>
      </c>
      <c r="E1467" s="151" t="s">
        <v>9</v>
      </c>
      <c r="F1467" s="152">
        <v>1</v>
      </c>
      <c r="G1467" s="149">
        <v>10</v>
      </c>
    </row>
    <row r="1468" spans="1:7" ht="15.75" x14ac:dyDescent="0.3">
      <c r="A1468" s="148" t="s">
        <v>111</v>
      </c>
      <c r="B1468" s="149">
        <v>1018360</v>
      </c>
      <c r="C1468" s="148" t="s">
        <v>1637</v>
      </c>
      <c r="D1468" s="150">
        <v>443.27</v>
      </c>
      <c r="E1468" s="151" t="s">
        <v>9</v>
      </c>
      <c r="F1468" s="152">
        <v>1</v>
      </c>
      <c r="G1468" s="149">
        <v>5</v>
      </c>
    </row>
    <row r="1469" spans="1:7" ht="15.75" x14ac:dyDescent="0.3">
      <c r="A1469" s="148" t="s">
        <v>111</v>
      </c>
      <c r="B1469" s="149">
        <v>1018361</v>
      </c>
      <c r="C1469" s="148" t="s">
        <v>1638</v>
      </c>
      <c r="D1469" s="150">
        <v>542.53</v>
      </c>
      <c r="E1469" s="151" t="s">
        <v>9</v>
      </c>
      <c r="F1469" s="152">
        <v>1</v>
      </c>
      <c r="G1469" s="149">
        <v>5</v>
      </c>
    </row>
    <row r="1470" spans="1:7" ht="15.75" x14ac:dyDescent="0.3">
      <c r="A1470" s="148" t="s">
        <v>111</v>
      </c>
      <c r="B1470" s="149">
        <v>1018362</v>
      </c>
      <c r="C1470" s="148" t="s">
        <v>1639</v>
      </c>
      <c r="D1470" s="150">
        <v>555.58000000000004</v>
      </c>
      <c r="E1470" s="151" t="s">
        <v>9</v>
      </c>
      <c r="F1470" s="152">
        <v>1</v>
      </c>
      <c r="G1470" s="149">
        <v>4</v>
      </c>
    </row>
    <row r="1471" spans="1:7" ht="15.75" x14ac:dyDescent="0.3">
      <c r="A1471" s="148" t="s">
        <v>111</v>
      </c>
      <c r="B1471" s="149">
        <v>1018363</v>
      </c>
      <c r="C1471" s="148" t="s">
        <v>1640</v>
      </c>
      <c r="D1471" s="150">
        <v>655.85</v>
      </c>
      <c r="E1471" s="151" t="s">
        <v>9</v>
      </c>
      <c r="F1471" s="152">
        <v>1</v>
      </c>
      <c r="G1471" s="149">
        <v>3</v>
      </c>
    </row>
    <row r="1472" spans="1:7" ht="15.75" x14ac:dyDescent="0.3">
      <c r="A1472" s="148" t="s">
        <v>111</v>
      </c>
      <c r="B1472" s="149">
        <v>1018364</v>
      </c>
      <c r="C1472" s="148" t="s">
        <v>1641</v>
      </c>
      <c r="D1472" s="150">
        <v>750</v>
      </c>
      <c r="E1472" s="151" t="s">
        <v>9</v>
      </c>
      <c r="F1472" s="152">
        <v>1</v>
      </c>
      <c r="G1472" s="149">
        <v>3</v>
      </c>
    </row>
    <row r="1473" spans="1:7" ht="15.75" x14ac:dyDescent="0.3">
      <c r="A1473" s="148" t="s">
        <v>111</v>
      </c>
      <c r="B1473" s="149">
        <v>1018365</v>
      </c>
      <c r="C1473" s="148" t="s">
        <v>1642</v>
      </c>
      <c r="D1473" s="150">
        <v>763.22</v>
      </c>
      <c r="E1473" s="151" t="s">
        <v>9</v>
      </c>
      <c r="F1473" s="152">
        <v>1</v>
      </c>
      <c r="G1473" s="149">
        <v>3</v>
      </c>
    </row>
    <row r="1474" spans="1:7" ht="15.75" x14ac:dyDescent="0.3">
      <c r="A1474" s="148" t="s">
        <v>111</v>
      </c>
      <c r="B1474" s="149">
        <v>1121640</v>
      </c>
      <c r="C1474" s="148" t="s">
        <v>1643</v>
      </c>
      <c r="D1474" s="150" t="s">
        <v>1644</v>
      </c>
      <c r="E1474" s="151" t="s">
        <v>9</v>
      </c>
      <c r="F1474" s="152">
        <v>1</v>
      </c>
      <c r="G1474" s="149"/>
    </row>
    <row r="1475" spans="1:7" ht="15.75" x14ac:dyDescent="0.3">
      <c r="A1475" s="148" t="s">
        <v>111</v>
      </c>
      <c r="B1475" s="149">
        <v>1045455</v>
      </c>
      <c r="C1475" s="148" t="s">
        <v>1645</v>
      </c>
      <c r="D1475" s="150">
        <v>169.48</v>
      </c>
      <c r="E1475" s="151" t="s">
        <v>9</v>
      </c>
      <c r="F1475" s="152">
        <v>1</v>
      </c>
      <c r="G1475" s="149">
        <v>20</v>
      </c>
    </row>
    <row r="1476" spans="1:7" ht="15.75" x14ac:dyDescent="0.3">
      <c r="A1476" s="148" t="s">
        <v>111</v>
      </c>
      <c r="B1476" s="149">
        <v>1045456</v>
      </c>
      <c r="C1476" s="148" t="s">
        <v>1646</v>
      </c>
      <c r="D1476" s="150">
        <v>169.48</v>
      </c>
      <c r="E1476" s="151" t="s">
        <v>9</v>
      </c>
      <c r="F1476" s="152">
        <v>1</v>
      </c>
      <c r="G1476" s="149">
        <v>20</v>
      </c>
    </row>
    <row r="1477" spans="1:7" ht="15.75" x14ac:dyDescent="0.3">
      <c r="A1477" s="148" t="s">
        <v>111</v>
      </c>
      <c r="B1477" s="149">
        <v>1045457</v>
      </c>
      <c r="C1477" s="148" t="s">
        <v>1647</v>
      </c>
      <c r="D1477" s="150">
        <v>114.97</v>
      </c>
      <c r="E1477" s="151" t="s">
        <v>9</v>
      </c>
      <c r="F1477" s="152">
        <v>1</v>
      </c>
      <c r="G1477" s="149">
        <v>15</v>
      </c>
    </row>
    <row r="1478" spans="1:7" ht="15.75" x14ac:dyDescent="0.3">
      <c r="A1478" s="148" t="s">
        <v>111</v>
      </c>
      <c r="B1478" s="149">
        <v>1045458</v>
      </c>
      <c r="C1478" s="148" t="s">
        <v>1648</v>
      </c>
      <c r="D1478" s="150">
        <v>114.97</v>
      </c>
      <c r="E1478" s="151" t="s">
        <v>9</v>
      </c>
      <c r="F1478" s="152">
        <v>1</v>
      </c>
      <c r="G1478" s="149">
        <v>10</v>
      </c>
    </row>
    <row r="1479" spans="1:7" ht="15.75" x14ac:dyDescent="0.3">
      <c r="A1479" s="148" t="s">
        <v>111</v>
      </c>
      <c r="B1479" s="149">
        <v>1045459</v>
      </c>
      <c r="C1479" s="148" t="s">
        <v>1649</v>
      </c>
      <c r="D1479" s="150">
        <v>114.97</v>
      </c>
      <c r="E1479" s="151" t="s">
        <v>9</v>
      </c>
      <c r="F1479" s="152">
        <v>1</v>
      </c>
      <c r="G1479" s="149">
        <v>10</v>
      </c>
    </row>
    <row r="1480" spans="1:7" ht="15.75" x14ac:dyDescent="0.3">
      <c r="A1480" s="148" t="s">
        <v>111</v>
      </c>
      <c r="B1480" s="149">
        <v>1045460</v>
      </c>
      <c r="C1480" s="148" t="s">
        <v>1650</v>
      </c>
      <c r="D1480" s="150">
        <v>299.95</v>
      </c>
      <c r="E1480" s="151" t="s">
        <v>9</v>
      </c>
      <c r="F1480" s="152">
        <v>1</v>
      </c>
      <c r="G1480" s="149">
        <v>3</v>
      </c>
    </row>
    <row r="1481" spans="1:7" ht="15.75" x14ac:dyDescent="0.3">
      <c r="A1481" s="148" t="s">
        <v>111</v>
      </c>
      <c r="B1481" s="149">
        <v>1045461</v>
      </c>
      <c r="C1481" s="148" t="s">
        <v>1651</v>
      </c>
      <c r="D1481" s="150">
        <v>429.37</v>
      </c>
      <c r="E1481" s="151" t="s">
        <v>9</v>
      </c>
      <c r="F1481" s="152">
        <v>1</v>
      </c>
      <c r="G1481" s="149">
        <v>2</v>
      </c>
    </row>
    <row r="1482" spans="1:7" ht="15.75" x14ac:dyDescent="0.3">
      <c r="A1482" s="148" t="s">
        <v>111</v>
      </c>
      <c r="B1482" s="149">
        <v>1018302</v>
      </c>
      <c r="C1482" s="148" t="s">
        <v>1652</v>
      </c>
      <c r="D1482" s="150">
        <v>86.54</v>
      </c>
      <c r="E1482" s="151" t="s">
        <v>9</v>
      </c>
      <c r="F1482" s="152">
        <v>1</v>
      </c>
      <c r="G1482" s="149">
        <v>30</v>
      </c>
    </row>
    <row r="1483" spans="1:7" ht="15.75" x14ac:dyDescent="0.3">
      <c r="A1483" s="148" t="s">
        <v>111</v>
      </c>
      <c r="B1483" s="149">
        <v>1018303</v>
      </c>
      <c r="C1483" s="148" t="s">
        <v>1653</v>
      </c>
      <c r="D1483" s="150">
        <v>78.260000000000005</v>
      </c>
      <c r="E1483" s="151" t="s">
        <v>9</v>
      </c>
      <c r="F1483" s="152">
        <v>1</v>
      </c>
      <c r="G1483" s="149">
        <v>10</v>
      </c>
    </row>
    <row r="1484" spans="1:7" ht="15.75" x14ac:dyDescent="0.3">
      <c r="A1484" s="148" t="s">
        <v>111</v>
      </c>
      <c r="B1484" s="149">
        <v>1018304</v>
      </c>
      <c r="C1484" s="148" t="s">
        <v>1654</v>
      </c>
      <c r="D1484" s="150">
        <v>102.09</v>
      </c>
      <c r="E1484" s="151" t="s">
        <v>9</v>
      </c>
      <c r="F1484" s="152">
        <v>1</v>
      </c>
      <c r="G1484" s="149">
        <v>5</v>
      </c>
    </row>
    <row r="1485" spans="1:7" ht="15.75" x14ac:dyDescent="0.3">
      <c r="A1485" s="148" t="s">
        <v>111</v>
      </c>
      <c r="B1485" s="149">
        <v>1018305</v>
      </c>
      <c r="C1485" s="148" t="s">
        <v>1655</v>
      </c>
      <c r="D1485" s="150">
        <v>227.99</v>
      </c>
      <c r="E1485" s="151" t="s">
        <v>9</v>
      </c>
      <c r="F1485" s="152">
        <v>1</v>
      </c>
      <c r="G1485" s="149">
        <v>5</v>
      </c>
    </row>
    <row r="1486" spans="1:7" ht="15.75" x14ac:dyDescent="0.3">
      <c r="A1486" s="148" t="s">
        <v>111</v>
      </c>
      <c r="B1486" s="149">
        <v>1094013</v>
      </c>
      <c r="C1486" s="148" t="s">
        <v>1656</v>
      </c>
      <c r="D1486" s="150">
        <v>68.209999999999994</v>
      </c>
      <c r="E1486" s="151" t="s">
        <v>9</v>
      </c>
      <c r="F1486" s="152">
        <v>1</v>
      </c>
      <c r="G1486" s="149"/>
    </row>
    <row r="1487" spans="1:7" ht="15.75" x14ac:dyDescent="0.3">
      <c r="A1487" s="148" t="s">
        <v>111</v>
      </c>
      <c r="B1487" s="149">
        <v>1094014</v>
      </c>
      <c r="C1487" s="148" t="s">
        <v>1657</v>
      </c>
      <c r="D1487" s="150">
        <v>83.53</v>
      </c>
      <c r="E1487" s="151" t="s">
        <v>9</v>
      </c>
      <c r="F1487" s="152">
        <v>1</v>
      </c>
      <c r="G1487" s="149"/>
    </row>
    <row r="1488" spans="1:7" ht="15.75" x14ac:dyDescent="0.3">
      <c r="A1488" s="148" t="s">
        <v>111</v>
      </c>
      <c r="B1488" s="149">
        <v>1118939</v>
      </c>
      <c r="C1488" s="148" t="s">
        <v>1658</v>
      </c>
      <c r="D1488" s="150">
        <v>87.36</v>
      </c>
      <c r="E1488" s="151" t="s">
        <v>9</v>
      </c>
      <c r="F1488" s="152">
        <v>1</v>
      </c>
      <c r="G1488" s="149"/>
    </row>
    <row r="1489" spans="1:7" ht="15.75" x14ac:dyDescent="0.3">
      <c r="A1489" s="148" t="s">
        <v>111</v>
      </c>
      <c r="B1489" s="149">
        <v>1094015</v>
      </c>
      <c r="C1489" s="148" t="s">
        <v>1659</v>
      </c>
      <c r="D1489" s="150">
        <v>102.33</v>
      </c>
      <c r="E1489" s="151" t="s">
        <v>9</v>
      </c>
      <c r="F1489" s="152">
        <v>1</v>
      </c>
      <c r="G1489" s="149"/>
    </row>
    <row r="1490" spans="1:7" ht="15.75" x14ac:dyDescent="0.3">
      <c r="A1490" s="148" t="s">
        <v>111</v>
      </c>
      <c r="B1490" s="149">
        <v>1118940</v>
      </c>
      <c r="C1490" s="148" t="s">
        <v>1660</v>
      </c>
      <c r="D1490" s="150">
        <v>104.26</v>
      </c>
      <c r="E1490" s="151" t="s">
        <v>9</v>
      </c>
      <c r="F1490" s="152">
        <v>1</v>
      </c>
      <c r="G1490" s="149"/>
    </row>
    <row r="1491" spans="1:7" ht="15.75" x14ac:dyDescent="0.3">
      <c r="A1491" s="148" t="s">
        <v>111</v>
      </c>
      <c r="B1491" s="149">
        <v>1094016</v>
      </c>
      <c r="C1491" s="148" t="s">
        <v>1661</v>
      </c>
      <c r="D1491" s="150">
        <v>113.44</v>
      </c>
      <c r="E1491" s="151" t="s">
        <v>9</v>
      </c>
      <c r="F1491" s="152">
        <v>1</v>
      </c>
      <c r="G1491" s="149"/>
    </row>
    <row r="1492" spans="1:7" ht="15.75" x14ac:dyDescent="0.3">
      <c r="A1492" s="148" t="s">
        <v>111</v>
      </c>
      <c r="B1492" s="149">
        <v>1118941</v>
      </c>
      <c r="C1492" s="148" t="s">
        <v>1662</v>
      </c>
      <c r="D1492" s="150">
        <v>115.78</v>
      </c>
      <c r="E1492" s="151" t="s">
        <v>9</v>
      </c>
      <c r="F1492" s="152">
        <v>1</v>
      </c>
      <c r="G1492" s="149"/>
    </row>
    <row r="1493" spans="1:7" ht="15.75" x14ac:dyDescent="0.3">
      <c r="A1493" s="148" t="s">
        <v>111</v>
      </c>
      <c r="B1493" s="149">
        <v>1094017</v>
      </c>
      <c r="C1493" s="148" t="s">
        <v>1663</v>
      </c>
      <c r="D1493" s="150">
        <v>170.59</v>
      </c>
      <c r="E1493" s="151" t="s">
        <v>9</v>
      </c>
      <c r="F1493" s="152">
        <v>1</v>
      </c>
      <c r="G1493" s="149"/>
    </row>
    <row r="1494" spans="1:7" ht="15.75" x14ac:dyDescent="0.3">
      <c r="A1494" s="148" t="s">
        <v>111</v>
      </c>
      <c r="B1494" s="149">
        <v>1118942</v>
      </c>
      <c r="C1494" s="148" t="s">
        <v>1664</v>
      </c>
      <c r="D1494" s="150">
        <v>176.29</v>
      </c>
      <c r="E1494" s="151" t="s">
        <v>9</v>
      </c>
      <c r="F1494" s="152">
        <v>1</v>
      </c>
      <c r="G1494" s="149"/>
    </row>
    <row r="1495" spans="1:7" ht="15.75" x14ac:dyDescent="0.3">
      <c r="A1495" s="148" t="s">
        <v>111</v>
      </c>
      <c r="B1495" s="149">
        <v>1094018</v>
      </c>
      <c r="C1495" s="148" t="s">
        <v>1665</v>
      </c>
      <c r="D1495" s="150">
        <v>256.79000000000002</v>
      </c>
      <c r="E1495" s="151" t="s">
        <v>9</v>
      </c>
      <c r="F1495" s="152">
        <v>1</v>
      </c>
      <c r="G1495" s="149"/>
    </row>
    <row r="1496" spans="1:7" ht="15.75" x14ac:dyDescent="0.3">
      <c r="A1496" s="148" t="s">
        <v>111</v>
      </c>
      <c r="B1496" s="149">
        <v>1094019</v>
      </c>
      <c r="C1496" s="148" t="s">
        <v>1666</v>
      </c>
      <c r="D1496" s="150">
        <v>387.11</v>
      </c>
      <c r="E1496" s="151" t="s">
        <v>9</v>
      </c>
      <c r="F1496" s="152">
        <v>1</v>
      </c>
      <c r="G1496" s="149"/>
    </row>
    <row r="1497" spans="1:7" ht="15.75" x14ac:dyDescent="0.3">
      <c r="A1497" s="148" t="s">
        <v>111</v>
      </c>
      <c r="B1497" s="149">
        <v>1094020</v>
      </c>
      <c r="C1497" s="148" t="s">
        <v>1667</v>
      </c>
      <c r="D1497" s="150">
        <v>597.9</v>
      </c>
      <c r="E1497" s="151" t="s">
        <v>9</v>
      </c>
      <c r="F1497" s="152">
        <v>1</v>
      </c>
      <c r="G1497" s="149"/>
    </row>
    <row r="1498" spans="1:7" ht="15.75" x14ac:dyDescent="0.3">
      <c r="A1498" s="148" t="s">
        <v>111</v>
      </c>
      <c r="B1498" s="149">
        <v>1118943</v>
      </c>
      <c r="C1498" s="148" t="s">
        <v>1668</v>
      </c>
      <c r="D1498" s="150">
        <v>597.9</v>
      </c>
      <c r="E1498" s="151" t="s">
        <v>9</v>
      </c>
      <c r="F1498" s="152">
        <v>1</v>
      </c>
      <c r="G1498" s="149"/>
    </row>
    <row r="1499" spans="1:7" ht="15.75" x14ac:dyDescent="0.3">
      <c r="A1499" s="148" t="s">
        <v>111</v>
      </c>
      <c r="B1499" s="149">
        <v>1094021</v>
      </c>
      <c r="C1499" s="148" t="s">
        <v>1669</v>
      </c>
      <c r="D1499" s="150">
        <v>749.9</v>
      </c>
      <c r="E1499" s="151" t="s">
        <v>9</v>
      </c>
      <c r="F1499" s="152">
        <v>1</v>
      </c>
      <c r="G1499" s="149"/>
    </row>
    <row r="1500" spans="1:7" ht="15.75" x14ac:dyDescent="0.3">
      <c r="A1500" s="148" t="s">
        <v>111</v>
      </c>
      <c r="B1500" s="149">
        <v>1121641</v>
      </c>
      <c r="C1500" s="148" t="s">
        <v>1670</v>
      </c>
      <c r="D1500" s="150">
        <v>869.35</v>
      </c>
      <c r="E1500" s="151" t="s">
        <v>9</v>
      </c>
      <c r="F1500" s="152">
        <v>1</v>
      </c>
      <c r="G1500" s="149"/>
    </row>
    <row r="1501" spans="1:7" ht="15.75" x14ac:dyDescent="0.3">
      <c r="A1501" s="148" t="s">
        <v>111</v>
      </c>
      <c r="B1501" s="149">
        <v>1121642</v>
      </c>
      <c r="C1501" s="148" t="s">
        <v>1671</v>
      </c>
      <c r="D1501" s="150">
        <v>923.54</v>
      </c>
      <c r="E1501" s="151" t="s">
        <v>9</v>
      </c>
      <c r="F1501" s="152">
        <v>1</v>
      </c>
      <c r="G1501" s="149"/>
    </row>
    <row r="1502" spans="1:7" ht="15.75" x14ac:dyDescent="0.3">
      <c r="A1502" s="148" t="s">
        <v>111</v>
      </c>
      <c r="B1502" s="149">
        <v>1118944</v>
      </c>
      <c r="C1502" s="148" t="s">
        <v>1672</v>
      </c>
      <c r="D1502" s="150">
        <v>106.51</v>
      </c>
      <c r="E1502" s="151" t="s">
        <v>9</v>
      </c>
      <c r="F1502" s="152">
        <v>1</v>
      </c>
      <c r="G1502" s="149"/>
    </row>
    <row r="1503" spans="1:7" ht="15.75" x14ac:dyDescent="0.3">
      <c r="A1503" s="148" t="s">
        <v>111</v>
      </c>
      <c r="B1503" s="149">
        <v>1118945</v>
      </c>
      <c r="C1503" s="148" t="s">
        <v>1673</v>
      </c>
      <c r="D1503" s="150">
        <v>121.85</v>
      </c>
      <c r="E1503" s="151" t="s">
        <v>9</v>
      </c>
      <c r="F1503" s="152">
        <v>1</v>
      </c>
      <c r="G1503" s="149"/>
    </row>
    <row r="1504" spans="1:7" ht="15.75" x14ac:dyDescent="0.3">
      <c r="A1504" s="148" t="s">
        <v>111</v>
      </c>
      <c r="B1504" s="149">
        <v>1118946</v>
      </c>
      <c r="C1504" s="148" t="s">
        <v>1674</v>
      </c>
      <c r="D1504" s="150">
        <v>185.16</v>
      </c>
      <c r="E1504" s="151" t="s">
        <v>9</v>
      </c>
      <c r="F1504" s="152">
        <v>1</v>
      </c>
      <c r="G1504" s="149"/>
    </row>
    <row r="1505" spans="1:7" ht="15.75" x14ac:dyDescent="0.3">
      <c r="A1505" s="148" t="s">
        <v>111</v>
      </c>
      <c r="B1505" s="149">
        <v>1118947</v>
      </c>
      <c r="C1505" s="148" t="s">
        <v>1675</v>
      </c>
      <c r="D1505" s="150">
        <v>275.95</v>
      </c>
      <c r="E1505" s="151" t="s">
        <v>9</v>
      </c>
      <c r="F1505" s="152">
        <v>1</v>
      </c>
      <c r="G1505" s="149"/>
    </row>
    <row r="1506" spans="1:7" ht="15.75" x14ac:dyDescent="0.3">
      <c r="A1506" s="148" t="s">
        <v>111</v>
      </c>
      <c r="B1506" s="149">
        <v>1118948</v>
      </c>
      <c r="C1506" s="148" t="s">
        <v>1676</v>
      </c>
      <c r="D1506" s="150">
        <v>398.58</v>
      </c>
      <c r="E1506" s="151" t="s">
        <v>9</v>
      </c>
      <c r="F1506" s="152">
        <v>1</v>
      </c>
      <c r="G1506" s="149"/>
    </row>
    <row r="1507" spans="1:7" ht="15.75" x14ac:dyDescent="0.3">
      <c r="A1507" s="148" t="s">
        <v>111</v>
      </c>
      <c r="B1507" s="149">
        <v>1118949</v>
      </c>
      <c r="C1507" s="148" t="s">
        <v>1677</v>
      </c>
      <c r="D1507" s="150">
        <v>612.46</v>
      </c>
      <c r="E1507" s="151" t="s">
        <v>9</v>
      </c>
      <c r="F1507" s="152">
        <v>1</v>
      </c>
      <c r="G1507" s="149"/>
    </row>
    <row r="1508" spans="1:7" ht="15.75" x14ac:dyDescent="0.3">
      <c r="A1508" s="148" t="s">
        <v>111</v>
      </c>
      <c r="B1508" s="149">
        <v>1060058</v>
      </c>
      <c r="C1508" s="148" t="s">
        <v>1678</v>
      </c>
      <c r="D1508" s="150">
        <v>48.66</v>
      </c>
      <c r="E1508" s="151" t="s">
        <v>9</v>
      </c>
      <c r="F1508" s="152">
        <v>1</v>
      </c>
      <c r="G1508" s="149">
        <v>25</v>
      </c>
    </row>
    <row r="1509" spans="1:7" ht="15.75" x14ac:dyDescent="0.3">
      <c r="A1509" s="148" t="s">
        <v>111</v>
      </c>
      <c r="B1509" s="149">
        <v>1060059</v>
      </c>
      <c r="C1509" s="148" t="s">
        <v>1679</v>
      </c>
      <c r="D1509" s="150">
        <v>62.02</v>
      </c>
      <c r="E1509" s="151" t="s">
        <v>9</v>
      </c>
      <c r="F1509" s="152">
        <v>1</v>
      </c>
      <c r="G1509" s="149">
        <v>15</v>
      </c>
    </row>
    <row r="1510" spans="1:7" ht="15.75" x14ac:dyDescent="0.3">
      <c r="A1510" s="148" t="s">
        <v>111</v>
      </c>
      <c r="B1510" s="149">
        <v>1060060</v>
      </c>
      <c r="C1510" s="148" t="s">
        <v>1680</v>
      </c>
      <c r="D1510" s="150">
        <v>81.67</v>
      </c>
      <c r="E1510" s="151" t="s">
        <v>9</v>
      </c>
      <c r="F1510" s="152">
        <v>1</v>
      </c>
      <c r="G1510" s="149">
        <v>10</v>
      </c>
    </row>
    <row r="1511" spans="1:7" ht="15.75" x14ac:dyDescent="0.3">
      <c r="A1511" s="148" t="s">
        <v>144</v>
      </c>
      <c r="B1511" s="149">
        <v>1047013</v>
      </c>
      <c r="C1511" s="148" t="s">
        <v>1681</v>
      </c>
      <c r="D1511" s="150">
        <v>139.59</v>
      </c>
      <c r="E1511" s="151" t="s">
        <v>9</v>
      </c>
      <c r="F1511" s="152">
        <v>1</v>
      </c>
      <c r="G1511" s="149">
        <v>240</v>
      </c>
    </row>
    <row r="1512" spans="1:7" ht="15.75" x14ac:dyDescent="0.3">
      <c r="A1512" s="148" t="s">
        <v>144</v>
      </c>
      <c r="B1512" s="149">
        <v>1047014</v>
      </c>
      <c r="C1512" s="148" t="s">
        <v>1682</v>
      </c>
      <c r="D1512" s="150">
        <v>216.64</v>
      </c>
      <c r="E1512" s="151" t="s">
        <v>9</v>
      </c>
      <c r="F1512" s="152">
        <v>1</v>
      </c>
      <c r="G1512" s="149">
        <v>240</v>
      </c>
    </row>
    <row r="1513" spans="1:7" ht="15.75" x14ac:dyDescent="0.3">
      <c r="A1513" s="148" t="s">
        <v>144</v>
      </c>
      <c r="B1513" s="149">
        <v>1047015</v>
      </c>
      <c r="C1513" s="148" t="s">
        <v>1683</v>
      </c>
      <c r="D1513" s="150">
        <v>278.02999999999997</v>
      </c>
      <c r="E1513" s="151" t="s">
        <v>9</v>
      </c>
      <c r="F1513" s="152">
        <v>1</v>
      </c>
      <c r="G1513" s="149">
        <v>180</v>
      </c>
    </row>
    <row r="1514" spans="1:7" ht="15.75" x14ac:dyDescent="0.3">
      <c r="A1514" s="148" t="s">
        <v>144</v>
      </c>
      <c r="B1514" s="149">
        <v>1047016</v>
      </c>
      <c r="C1514" s="148" t="s">
        <v>1684</v>
      </c>
      <c r="D1514" s="150">
        <v>339.79</v>
      </c>
      <c r="E1514" s="151" t="s">
        <v>9</v>
      </c>
      <c r="F1514" s="152">
        <v>1</v>
      </c>
      <c r="G1514" s="149">
        <v>180</v>
      </c>
    </row>
    <row r="1515" spans="1:7" ht="15.75" x14ac:dyDescent="0.3">
      <c r="A1515" s="148" t="s">
        <v>144</v>
      </c>
      <c r="B1515" s="149">
        <v>1047017</v>
      </c>
      <c r="C1515" s="148" t="s">
        <v>1685</v>
      </c>
      <c r="D1515" s="150">
        <v>141.13</v>
      </c>
      <c r="E1515" s="151" t="s">
        <v>9</v>
      </c>
      <c r="F1515" s="152">
        <v>1</v>
      </c>
      <c r="G1515" s="149">
        <v>240</v>
      </c>
    </row>
    <row r="1516" spans="1:7" ht="15.75" x14ac:dyDescent="0.3">
      <c r="A1516" s="148" t="s">
        <v>144</v>
      </c>
      <c r="B1516" s="149">
        <v>1047018</v>
      </c>
      <c r="C1516" s="148" t="s">
        <v>1686</v>
      </c>
      <c r="D1516" s="150">
        <v>242.23</v>
      </c>
      <c r="E1516" s="151" t="s">
        <v>9</v>
      </c>
      <c r="F1516" s="152">
        <v>1</v>
      </c>
      <c r="G1516" s="149">
        <v>240</v>
      </c>
    </row>
    <row r="1517" spans="1:7" ht="15.75" x14ac:dyDescent="0.3">
      <c r="A1517" s="148" t="s">
        <v>144</v>
      </c>
      <c r="B1517" s="149">
        <v>1047019</v>
      </c>
      <c r="C1517" s="148" t="s">
        <v>1687</v>
      </c>
      <c r="D1517" s="150">
        <v>249.52</v>
      </c>
      <c r="E1517" s="151" t="s">
        <v>9</v>
      </c>
      <c r="F1517" s="152">
        <v>1</v>
      </c>
      <c r="G1517" s="149">
        <v>180</v>
      </c>
    </row>
    <row r="1518" spans="1:7" ht="15.75" x14ac:dyDescent="0.3">
      <c r="A1518" s="148" t="s">
        <v>144</v>
      </c>
      <c r="B1518" s="149">
        <v>1047020</v>
      </c>
      <c r="C1518" s="148" t="s">
        <v>1688</v>
      </c>
      <c r="D1518" s="150">
        <v>337.35</v>
      </c>
      <c r="E1518" s="151" t="s">
        <v>9</v>
      </c>
      <c r="F1518" s="152">
        <v>1</v>
      </c>
      <c r="G1518" s="149">
        <v>180</v>
      </c>
    </row>
    <row r="1519" spans="1:7" ht="15.75" x14ac:dyDescent="0.3">
      <c r="A1519" s="148" t="s">
        <v>433</v>
      </c>
      <c r="B1519" s="149">
        <v>1018316</v>
      </c>
      <c r="C1519" s="148" t="s">
        <v>434</v>
      </c>
      <c r="D1519" s="150">
        <v>47.65</v>
      </c>
      <c r="E1519" s="151" t="s">
        <v>9</v>
      </c>
      <c r="F1519" s="152">
        <v>1</v>
      </c>
      <c r="G1519" s="149"/>
    </row>
    <row r="1520" spans="1:7" ht="15.75" x14ac:dyDescent="0.3">
      <c r="A1520" s="148" t="s">
        <v>433</v>
      </c>
      <c r="B1520" s="149">
        <v>1018246</v>
      </c>
      <c r="C1520" s="148" t="s">
        <v>435</v>
      </c>
      <c r="D1520" s="150">
        <v>60.6</v>
      </c>
      <c r="E1520" s="151" t="s">
        <v>9</v>
      </c>
      <c r="F1520" s="152">
        <v>1</v>
      </c>
      <c r="G1520" s="149"/>
    </row>
    <row r="1521" spans="1:7" ht="15.75" x14ac:dyDescent="0.3">
      <c r="A1521" s="148" t="s">
        <v>433</v>
      </c>
      <c r="B1521" s="149">
        <v>1018315</v>
      </c>
      <c r="C1521" s="148" t="s">
        <v>436</v>
      </c>
      <c r="D1521" s="150">
        <v>51.04</v>
      </c>
      <c r="E1521" s="151" t="s">
        <v>9</v>
      </c>
      <c r="F1521" s="152">
        <v>1</v>
      </c>
      <c r="G1521" s="149"/>
    </row>
    <row r="1522" spans="1:7" ht="15.75" x14ac:dyDescent="0.3">
      <c r="A1522" s="148" t="s">
        <v>433</v>
      </c>
      <c r="B1522" s="149">
        <v>1036248</v>
      </c>
      <c r="C1522" s="148" t="s">
        <v>437</v>
      </c>
      <c r="D1522" s="150">
        <v>92.92</v>
      </c>
      <c r="E1522" s="151" t="s">
        <v>9</v>
      </c>
      <c r="F1522" s="152">
        <v>1</v>
      </c>
      <c r="G1522" s="149"/>
    </row>
    <row r="1523" spans="1:7" ht="15.75" x14ac:dyDescent="0.3">
      <c r="A1523" s="148" t="s">
        <v>433</v>
      </c>
      <c r="B1523" s="149">
        <v>1018313</v>
      </c>
      <c r="C1523" s="148" t="s">
        <v>438</v>
      </c>
      <c r="D1523" s="150">
        <v>71.48</v>
      </c>
      <c r="E1523" s="151" t="s">
        <v>9</v>
      </c>
      <c r="F1523" s="152">
        <v>1</v>
      </c>
      <c r="G1523" s="149"/>
    </row>
    <row r="1524" spans="1:7" ht="15.75" x14ac:dyDescent="0.3">
      <c r="A1524" s="148" t="s">
        <v>433</v>
      </c>
      <c r="B1524" s="149">
        <v>1018314</v>
      </c>
      <c r="C1524" s="148" t="s">
        <v>439</v>
      </c>
      <c r="D1524" s="150">
        <v>68.069999999999993</v>
      </c>
      <c r="E1524" s="151" t="s">
        <v>9</v>
      </c>
      <c r="F1524" s="152">
        <v>1</v>
      </c>
      <c r="G1524" s="149"/>
    </row>
    <row r="1525" spans="1:7" ht="15.75" x14ac:dyDescent="0.3">
      <c r="A1525" s="148" t="s">
        <v>433</v>
      </c>
      <c r="B1525" s="149">
        <v>1095801</v>
      </c>
      <c r="C1525" s="148" t="s">
        <v>440</v>
      </c>
      <c r="D1525" s="150">
        <v>73.569999999999993</v>
      </c>
      <c r="E1525" s="151" t="s">
        <v>9</v>
      </c>
      <c r="F1525" s="152">
        <v>1</v>
      </c>
      <c r="G1525" s="149"/>
    </row>
    <row r="1526" spans="1:7" ht="15.75" x14ac:dyDescent="0.3">
      <c r="A1526" s="148" t="s">
        <v>433</v>
      </c>
      <c r="B1526" s="149">
        <v>1018312</v>
      </c>
      <c r="C1526" s="148" t="s">
        <v>441</v>
      </c>
      <c r="D1526" s="150">
        <v>74.87</v>
      </c>
      <c r="E1526" s="151" t="s">
        <v>9</v>
      </c>
      <c r="F1526" s="152">
        <v>1</v>
      </c>
      <c r="G1526" s="149"/>
    </row>
    <row r="1527" spans="1:7" ht="15.75" x14ac:dyDescent="0.3">
      <c r="A1527" s="148" t="s">
        <v>433</v>
      </c>
      <c r="B1527" s="149">
        <v>1018310</v>
      </c>
      <c r="C1527" s="148" t="s">
        <v>442</v>
      </c>
      <c r="D1527" s="150">
        <v>102.09</v>
      </c>
      <c r="E1527" s="151" t="s">
        <v>9</v>
      </c>
      <c r="F1527" s="152">
        <v>1</v>
      </c>
      <c r="G1527" s="149"/>
    </row>
    <row r="1528" spans="1:7" ht="15.75" x14ac:dyDescent="0.3">
      <c r="A1528" s="148" t="s">
        <v>433</v>
      </c>
      <c r="B1528" s="149">
        <v>1018311</v>
      </c>
      <c r="C1528" s="148" t="s">
        <v>443</v>
      </c>
      <c r="D1528" s="150">
        <v>85.08</v>
      </c>
      <c r="E1528" s="151" t="s">
        <v>9</v>
      </c>
      <c r="F1528" s="152">
        <v>1</v>
      </c>
      <c r="G1528" s="149"/>
    </row>
    <row r="1529" spans="1:7" ht="15.75" x14ac:dyDescent="0.3">
      <c r="A1529" s="148" t="s">
        <v>433</v>
      </c>
      <c r="B1529" s="149">
        <v>1067757</v>
      </c>
      <c r="C1529" s="148" t="s">
        <v>444</v>
      </c>
      <c r="D1529" s="150">
        <v>130.41</v>
      </c>
      <c r="E1529" s="151" t="s">
        <v>9</v>
      </c>
      <c r="F1529" s="152">
        <v>1</v>
      </c>
      <c r="G1529" s="149"/>
    </row>
    <row r="1530" spans="1:7" ht="15.75" x14ac:dyDescent="0.3">
      <c r="A1530" s="148" t="s">
        <v>433</v>
      </c>
      <c r="B1530" s="149">
        <v>1121645</v>
      </c>
      <c r="C1530" s="148" t="s">
        <v>1689</v>
      </c>
      <c r="D1530" s="150">
        <v>130.41</v>
      </c>
      <c r="E1530" s="151" t="s">
        <v>9</v>
      </c>
      <c r="F1530" s="152">
        <v>1</v>
      </c>
      <c r="G1530" s="149"/>
    </row>
    <row r="1531" spans="1:7" ht="15.75" x14ac:dyDescent="0.3">
      <c r="A1531" s="148" t="s">
        <v>433</v>
      </c>
      <c r="B1531" s="149">
        <v>1121646</v>
      </c>
      <c r="C1531" s="148" t="s">
        <v>1690</v>
      </c>
      <c r="D1531" s="150" t="s">
        <v>1644</v>
      </c>
      <c r="E1531" s="151" t="s">
        <v>9</v>
      </c>
      <c r="F1531" s="152">
        <v>1</v>
      </c>
      <c r="G1531" s="149"/>
    </row>
    <row r="1532" spans="1:7" ht="15.75" x14ac:dyDescent="0.3">
      <c r="A1532" s="148" t="s">
        <v>433</v>
      </c>
      <c r="B1532" s="149">
        <v>1034306</v>
      </c>
      <c r="C1532" s="148" t="s">
        <v>445</v>
      </c>
      <c r="D1532" s="150">
        <v>93.59</v>
      </c>
      <c r="E1532" s="151" t="s">
        <v>9</v>
      </c>
      <c r="F1532" s="152">
        <v>1</v>
      </c>
      <c r="G1532" s="149"/>
    </row>
    <row r="1533" spans="1:7" ht="15.75" x14ac:dyDescent="0.3">
      <c r="A1533" s="148" t="s">
        <v>433</v>
      </c>
      <c r="B1533" s="149">
        <v>1119374</v>
      </c>
      <c r="C1533" s="148" t="s">
        <v>446</v>
      </c>
      <c r="D1533" s="150">
        <v>93.59</v>
      </c>
      <c r="E1533" s="151" t="s">
        <v>9</v>
      </c>
      <c r="F1533" s="152">
        <v>1</v>
      </c>
      <c r="G1533" s="149"/>
    </row>
    <row r="1534" spans="1:7" ht="15.75" x14ac:dyDescent="0.3">
      <c r="A1534" s="148" t="s">
        <v>433</v>
      </c>
      <c r="B1534" s="149">
        <v>1018245</v>
      </c>
      <c r="C1534" s="148" t="s">
        <v>447</v>
      </c>
      <c r="D1534" s="150">
        <v>93.59</v>
      </c>
      <c r="E1534" s="151" t="s">
        <v>9</v>
      </c>
      <c r="F1534" s="152">
        <v>1</v>
      </c>
      <c r="G1534" s="149"/>
    </row>
    <row r="1535" spans="1:7" ht="15.75" x14ac:dyDescent="0.3">
      <c r="A1535" s="148" t="s">
        <v>433</v>
      </c>
      <c r="B1535" s="149">
        <v>1018309</v>
      </c>
      <c r="C1535" s="148" t="s">
        <v>448</v>
      </c>
      <c r="D1535" s="150">
        <v>93.59</v>
      </c>
      <c r="E1535" s="151" t="s">
        <v>9</v>
      </c>
      <c r="F1535" s="152">
        <v>1</v>
      </c>
      <c r="G1535" s="149"/>
    </row>
    <row r="1536" spans="1:7" ht="15.75" x14ac:dyDescent="0.3">
      <c r="A1536" s="148" t="s">
        <v>433</v>
      </c>
      <c r="B1536" s="149">
        <v>1018308</v>
      </c>
      <c r="C1536" s="148" t="s">
        <v>449</v>
      </c>
      <c r="D1536" s="150">
        <v>93.59</v>
      </c>
      <c r="E1536" s="151" t="s">
        <v>9</v>
      </c>
      <c r="F1536" s="152">
        <v>1</v>
      </c>
      <c r="G1536" s="149"/>
    </row>
    <row r="1537" spans="1:7" ht="15.75" x14ac:dyDescent="0.3">
      <c r="A1537" s="148" t="s">
        <v>433</v>
      </c>
      <c r="B1537" s="149">
        <v>1018307</v>
      </c>
      <c r="C1537" s="148" t="s">
        <v>450</v>
      </c>
      <c r="D1537" s="150">
        <v>102.09</v>
      </c>
      <c r="E1537" s="151" t="s">
        <v>9</v>
      </c>
      <c r="F1537" s="152">
        <v>1</v>
      </c>
      <c r="G1537" s="149"/>
    </row>
    <row r="1538" spans="1:7" ht="15.75" x14ac:dyDescent="0.3">
      <c r="A1538" s="148" t="s">
        <v>433</v>
      </c>
      <c r="B1538" s="149">
        <v>1088979</v>
      </c>
      <c r="C1538" s="148" t="s">
        <v>451</v>
      </c>
      <c r="D1538" s="150">
        <v>125.77</v>
      </c>
      <c r="E1538" s="151" t="s">
        <v>9</v>
      </c>
      <c r="F1538" s="152">
        <v>1</v>
      </c>
      <c r="G1538" s="149"/>
    </row>
    <row r="1539" spans="1:7" ht="15.75" x14ac:dyDescent="0.3">
      <c r="A1539" s="148" t="s">
        <v>433</v>
      </c>
      <c r="B1539" s="149">
        <v>1018306</v>
      </c>
      <c r="C1539" s="148" t="s">
        <v>1691</v>
      </c>
      <c r="D1539" s="150">
        <v>115.7</v>
      </c>
      <c r="E1539" s="151" t="s">
        <v>9</v>
      </c>
      <c r="F1539" s="152">
        <v>1</v>
      </c>
      <c r="G1539" s="149"/>
    </row>
    <row r="1540" spans="1:7" ht="15.75" x14ac:dyDescent="0.3">
      <c r="A1540" s="148" t="s">
        <v>433</v>
      </c>
      <c r="B1540" s="149">
        <v>1034308</v>
      </c>
      <c r="C1540" s="148" t="s">
        <v>452</v>
      </c>
      <c r="D1540" s="150">
        <v>222.72</v>
      </c>
      <c r="E1540" s="151" t="s">
        <v>9</v>
      </c>
      <c r="F1540" s="152">
        <v>1</v>
      </c>
      <c r="G1540" s="149"/>
    </row>
    <row r="1541" spans="1:7" ht="15.75" x14ac:dyDescent="0.3">
      <c r="A1541" s="148" t="s">
        <v>433</v>
      </c>
      <c r="B1541" s="149">
        <v>1060986</v>
      </c>
      <c r="C1541" s="148" t="s">
        <v>453</v>
      </c>
      <c r="D1541" s="150">
        <v>651.69000000000005</v>
      </c>
      <c r="E1541" s="151" t="s">
        <v>9</v>
      </c>
      <c r="F1541" s="152">
        <v>1</v>
      </c>
      <c r="G1541" s="149">
        <v>5</v>
      </c>
    </row>
    <row r="1542" spans="1:7" ht="15.75" x14ac:dyDescent="0.3">
      <c r="A1542" s="148" t="s">
        <v>433</v>
      </c>
      <c r="B1542" s="149">
        <v>1060982</v>
      </c>
      <c r="C1542" s="148" t="s">
        <v>454</v>
      </c>
      <c r="D1542" s="150">
        <v>1161.6500000000001</v>
      </c>
      <c r="E1542" s="151" t="s">
        <v>9</v>
      </c>
      <c r="F1542" s="152">
        <v>1</v>
      </c>
      <c r="G1542" s="149">
        <v>4</v>
      </c>
    </row>
    <row r="1543" spans="1:7" ht="15.75" x14ac:dyDescent="0.3">
      <c r="A1543" s="148" t="s">
        <v>433</v>
      </c>
      <c r="B1543" s="149">
        <v>1060985</v>
      </c>
      <c r="C1543" s="148" t="s">
        <v>455</v>
      </c>
      <c r="D1543" s="150">
        <v>651.69000000000005</v>
      </c>
      <c r="E1543" s="151" t="s">
        <v>9</v>
      </c>
      <c r="F1543" s="152">
        <v>1</v>
      </c>
      <c r="G1543" s="149">
        <v>3</v>
      </c>
    </row>
    <row r="1544" spans="1:7" ht="15.75" x14ac:dyDescent="0.3">
      <c r="A1544" s="148" t="s">
        <v>433</v>
      </c>
      <c r="B1544" s="149">
        <v>1060984</v>
      </c>
      <c r="C1544" s="148" t="s">
        <v>456</v>
      </c>
      <c r="D1544" s="150">
        <v>651.69000000000005</v>
      </c>
      <c r="E1544" s="151" t="s">
        <v>9</v>
      </c>
      <c r="F1544" s="152">
        <v>1</v>
      </c>
      <c r="G1544" s="149">
        <v>6</v>
      </c>
    </row>
    <row r="1545" spans="1:7" ht="15.75" x14ac:dyDescent="0.3">
      <c r="A1545" s="148" t="s">
        <v>433</v>
      </c>
      <c r="B1545" s="149">
        <v>1060991</v>
      </c>
      <c r="C1545" s="148" t="s">
        <v>457</v>
      </c>
      <c r="D1545" s="150">
        <v>20.78</v>
      </c>
      <c r="E1545" s="151" t="s">
        <v>9</v>
      </c>
      <c r="F1545" s="152">
        <v>1</v>
      </c>
      <c r="G1545" s="149">
        <v>8</v>
      </c>
    </row>
    <row r="1546" spans="1:7" ht="15.75" x14ac:dyDescent="0.3">
      <c r="A1546" s="148" t="s">
        <v>433</v>
      </c>
      <c r="B1546" s="149">
        <v>1060990</v>
      </c>
      <c r="C1546" s="148" t="s">
        <v>458</v>
      </c>
      <c r="D1546" s="150">
        <v>20.78</v>
      </c>
      <c r="E1546" s="151" t="s">
        <v>9</v>
      </c>
      <c r="F1546" s="152">
        <v>1</v>
      </c>
      <c r="G1546" s="149">
        <v>8</v>
      </c>
    </row>
    <row r="1547" spans="1:7" ht="15.75" x14ac:dyDescent="0.3">
      <c r="A1547" s="148" t="s">
        <v>433</v>
      </c>
      <c r="B1547" s="149">
        <v>1090231</v>
      </c>
      <c r="C1547" s="148" t="s">
        <v>459</v>
      </c>
      <c r="D1547" s="150">
        <v>189.54</v>
      </c>
      <c r="E1547" s="151" t="s">
        <v>9</v>
      </c>
      <c r="F1547" s="152">
        <v>1</v>
      </c>
      <c r="G1547" s="149"/>
    </row>
    <row r="1548" spans="1:7" ht="15.75" x14ac:dyDescent="0.3">
      <c r="A1548" s="148" t="s">
        <v>433</v>
      </c>
      <c r="B1548" s="149">
        <v>1083872</v>
      </c>
      <c r="C1548" s="148" t="s">
        <v>461</v>
      </c>
      <c r="D1548" s="150">
        <v>250.35</v>
      </c>
      <c r="E1548" s="151" t="s">
        <v>9</v>
      </c>
      <c r="F1548" s="152">
        <v>1</v>
      </c>
      <c r="G1548" s="149">
        <v>9</v>
      </c>
    </row>
    <row r="1549" spans="1:7" ht="15.75" x14ac:dyDescent="0.3">
      <c r="A1549" s="148" t="s">
        <v>433</v>
      </c>
      <c r="B1549" s="149">
        <v>1084574</v>
      </c>
      <c r="C1549" s="148" t="s">
        <v>460</v>
      </c>
      <c r="D1549" s="150">
        <v>246.38</v>
      </c>
      <c r="E1549" s="151" t="s">
        <v>9</v>
      </c>
      <c r="F1549" s="152">
        <v>1</v>
      </c>
      <c r="G1549" s="149">
        <v>10</v>
      </c>
    </row>
    <row r="1550" spans="1:7" ht="15.75" x14ac:dyDescent="0.3">
      <c r="A1550" s="148" t="s">
        <v>433</v>
      </c>
      <c r="B1550" s="149">
        <v>1007355</v>
      </c>
      <c r="C1550" s="148" t="s">
        <v>1692</v>
      </c>
      <c r="D1550" s="150">
        <v>782.71</v>
      </c>
      <c r="E1550" s="151" t="s">
        <v>9</v>
      </c>
      <c r="F1550" s="152">
        <v>1</v>
      </c>
      <c r="G1550" s="149"/>
    </row>
    <row r="1551" spans="1:7" ht="15.75" x14ac:dyDescent="0.3">
      <c r="A1551" s="148" t="s">
        <v>433</v>
      </c>
      <c r="B1551" s="149">
        <v>1018326</v>
      </c>
      <c r="C1551" s="148" t="s">
        <v>1693</v>
      </c>
      <c r="D1551" s="150">
        <v>1305.8399999999999</v>
      </c>
      <c r="E1551" s="151" t="s">
        <v>9</v>
      </c>
      <c r="F1551" s="152">
        <v>3</v>
      </c>
      <c r="G1551" s="149"/>
    </row>
    <row r="1552" spans="1:7" ht="15.75" x14ac:dyDescent="0.3">
      <c r="A1552" s="148" t="s">
        <v>433</v>
      </c>
      <c r="B1552" s="149">
        <v>1018327</v>
      </c>
      <c r="C1552" s="148" t="s">
        <v>1694</v>
      </c>
      <c r="D1552" s="150">
        <v>1424.58</v>
      </c>
      <c r="E1552" s="151" t="s">
        <v>9</v>
      </c>
      <c r="F1552" s="152">
        <v>3</v>
      </c>
      <c r="G1552" s="149"/>
    </row>
    <row r="1553" spans="1:7" ht="15.75" x14ac:dyDescent="0.3">
      <c r="A1553" s="148" t="s">
        <v>433</v>
      </c>
      <c r="B1553" s="149">
        <v>1084576</v>
      </c>
      <c r="C1553" s="148" t="s">
        <v>1695</v>
      </c>
      <c r="D1553" s="150">
        <v>3476.78</v>
      </c>
      <c r="E1553" s="151" t="s">
        <v>9</v>
      </c>
      <c r="F1553" s="152">
        <v>1</v>
      </c>
      <c r="G1553" s="149"/>
    </row>
    <row r="1554" spans="1:7" ht="15.75" x14ac:dyDescent="0.3">
      <c r="A1554" s="148" t="s">
        <v>433</v>
      </c>
      <c r="B1554" s="149">
        <v>1084577</v>
      </c>
      <c r="C1554" s="148" t="s">
        <v>1696</v>
      </c>
      <c r="D1554" s="150">
        <v>4746.8</v>
      </c>
      <c r="E1554" s="151" t="s">
        <v>9</v>
      </c>
      <c r="F1554" s="152">
        <v>1</v>
      </c>
      <c r="G1554" s="149"/>
    </row>
    <row r="1555" spans="1:7" ht="15.75" x14ac:dyDescent="0.3">
      <c r="A1555" s="148" t="s">
        <v>433</v>
      </c>
      <c r="B1555" s="149">
        <v>1084578</v>
      </c>
      <c r="C1555" s="148" t="s">
        <v>1697</v>
      </c>
      <c r="D1555" s="150">
        <v>6016.65</v>
      </c>
      <c r="E1555" s="151" t="s">
        <v>9</v>
      </c>
      <c r="F1555" s="152">
        <v>1</v>
      </c>
      <c r="G1555" s="149"/>
    </row>
    <row r="1556" spans="1:7" ht="15.75" x14ac:dyDescent="0.3">
      <c r="A1556" s="148" t="s">
        <v>433</v>
      </c>
      <c r="B1556" s="149">
        <v>1018379</v>
      </c>
      <c r="C1556" s="148" t="s">
        <v>1698</v>
      </c>
      <c r="D1556" s="150">
        <v>41.7</v>
      </c>
      <c r="E1556" s="151" t="s">
        <v>9</v>
      </c>
      <c r="F1556" s="152">
        <v>1</v>
      </c>
      <c r="G1556" s="149"/>
    </row>
    <row r="1557" spans="1:7" ht="15.75" x14ac:dyDescent="0.3">
      <c r="A1557" s="148" t="s">
        <v>433</v>
      </c>
      <c r="B1557" s="149">
        <v>1018380</v>
      </c>
      <c r="C1557" s="148" t="s">
        <v>1699</v>
      </c>
      <c r="D1557" s="150">
        <v>41.7</v>
      </c>
      <c r="E1557" s="151" t="s">
        <v>9</v>
      </c>
      <c r="F1557" s="152">
        <v>1</v>
      </c>
      <c r="G1557" s="149"/>
    </row>
    <row r="1558" spans="1:7" ht="15.75" x14ac:dyDescent="0.3">
      <c r="A1558" s="148" t="s">
        <v>433</v>
      </c>
      <c r="B1558" s="149">
        <v>1084575</v>
      </c>
      <c r="C1558" s="148" t="s">
        <v>1700</v>
      </c>
      <c r="D1558" s="150">
        <v>53.08</v>
      </c>
      <c r="E1558" s="151" t="s">
        <v>9</v>
      </c>
      <c r="F1558" s="152">
        <v>1</v>
      </c>
      <c r="G1558" s="149">
        <v>15</v>
      </c>
    </row>
    <row r="1559" spans="1:7" ht="15.75" x14ac:dyDescent="0.3">
      <c r="A1559" s="148" t="s">
        <v>433</v>
      </c>
      <c r="B1559" s="149">
        <v>1034312</v>
      </c>
      <c r="C1559" s="148" t="s">
        <v>1701</v>
      </c>
      <c r="D1559" s="150">
        <v>248.73</v>
      </c>
      <c r="E1559" s="151" t="s">
        <v>9</v>
      </c>
      <c r="F1559" s="152">
        <v>1</v>
      </c>
      <c r="G1559" s="149">
        <v>10</v>
      </c>
    </row>
    <row r="1560" spans="1:7" ht="15.75" x14ac:dyDescent="0.3">
      <c r="A1560" s="148" t="s">
        <v>433</v>
      </c>
      <c r="B1560" s="149">
        <v>1118764</v>
      </c>
      <c r="C1560" s="148" t="s">
        <v>1702</v>
      </c>
      <c r="D1560" s="150">
        <v>292.98</v>
      </c>
      <c r="E1560" s="151" t="s">
        <v>9</v>
      </c>
      <c r="F1560" s="152">
        <v>1</v>
      </c>
      <c r="G1560" s="149"/>
    </row>
    <row r="1561" spans="1:7" ht="15.75" x14ac:dyDescent="0.3">
      <c r="A1561" s="148" t="s">
        <v>433</v>
      </c>
      <c r="B1561" s="149">
        <v>1118765</v>
      </c>
      <c r="C1561" s="148" t="s">
        <v>1703</v>
      </c>
      <c r="D1561" s="150">
        <v>367.31</v>
      </c>
      <c r="E1561" s="151" t="s">
        <v>9</v>
      </c>
      <c r="F1561" s="152">
        <v>1</v>
      </c>
      <c r="G1561" s="149"/>
    </row>
    <row r="1562" spans="1:7" ht="15.75" x14ac:dyDescent="0.3">
      <c r="A1562" s="148" t="s">
        <v>433</v>
      </c>
      <c r="B1562" s="149">
        <v>1118766</v>
      </c>
      <c r="C1562" s="148" t="s">
        <v>1704</v>
      </c>
      <c r="D1562" s="150">
        <v>424.02</v>
      </c>
      <c r="E1562" s="151" t="s">
        <v>9</v>
      </c>
      <c r="F1562" s="152">
        <v>1</v>
      </c>
      <c r="G1562" s="149"/>
    </row>
    <row r="1563" spans="1:7" ht="15.75" x14ac:dyDescent="0.3">
      <c r="A1563" s="148" t="s">
        <v>433</v>
      </c>
      <c r="B1563" s="149">
        <v>1118767</v>
      </c>
      <c r="C1563" s="148" t="s">
        <v>1705</v>
      </c>
      <c r="D1563" s="150">
        <v>619.75</v>
      </c>
      <c r="E1563" s="151" t="s">
        <v>9</v>
      </c>
      <c r="F1563" s="152">
        <v>1</v>
      </c>
      <c r="G1563" s="149"/>
    </row>
    <row r="1564" spans="1:7" ht="15.75" x14ac:dyDescent="0.3">
      <c r="A1564" s="148" t="s">
        <v>433</v>
      </c>
      <c r="B1564" s="149">
        <v>1118771</v>
      </c>
      <c r="C1564" s="148" t="s">
        <v>1706</v>
      </c>
      <c r="D1564" s="150">
        <v>439.98</v>
      </c>
      <c r="E1564" s="151" t="s">
        <v>9</v>
      </c>
      <c r="F1564" s="152">
        <v>1</v>
      </c>
      <c r="G1564" s="149"/>
    </row>
    <row r="1565" spans="1:7" ht="15.75" x14ac:dyDescent="0.3">
      <c r="A1565" s="148" t="s">
        <v>433</v>
      </c>
      <c r="B1565" s="149">
        <v>1118772</v>
      </c>
      <c r="C1565" s="148" t="s">
        <v>1707</v>
      </c>
      <c r="D1565" s="150">
        <v>301.62</v>
      </c>
      <c r="E1565" s="151" t="s">
        <v>9</v>
      </c>
      <c r="F1565" s="152">
        <v>1</v>
      </c>
      <c r="G1565" s="149"/>
    </row>
    <row r="1566" spans="1:7" ht="15.75" x14ac:dyDescent="0.3">
      <c r="A1566" s="148" t="s">
        <v>433</v>
      </c>
      <c r="B1566" s="149">
        <v>1118773</v>
      </c>
      <c r="C1566" s="148" t="s">
        <v>1708</v>
      </c>
      <c r="D1566" s="150">
        <v>546.15</v>
      </c>
      <c r="E1566" s="151" t="s">
        <v>9</v>
      </c>
      <c r="F1566" s="152">
        <v>1</v>
      </c>
      <c r="G1566" s="149"/>
    </row>
    <row r="1567" spans="1:7" ht="15.75" x14ac:dyDescent="0.3">
      <c r="A1567" s="148" t="s">
        <v>433</v>
      </c>
      <c r="B1567" s="149">
        <v>1118774</v>
      </c>
      <c r="C1567" s="148" t="s">
        <v>1709</v>
      </c>
      <c r="D1567" s="150">
        <v>590.95000000000005</v>
      </c>
      <c r="E1567" s="151" t="s">
        <v>9</v>
      </c>
      <c r="F1567" s="152">
        <v>1</v>
      </c>
      <c r="G1567" s="149"/>
    </row>
    <row r="1568" spans="1:7" ht="15.75" x14ac:dyDescent="0.3">
      <c r="A1568" s="148" t="s">
        <v>433</v>
      </c>
      <c r="B1568" s="149">
        <v>1118775</v>
      </c>
      <c r="C1568" s="148" t="s">
        <v>1710</v>
      </c>
      <c r="D1568" s="150">
        <v>798.65</v>
      </c>
      <c r="E1568" s="151" t="s">
        <v>9</v>
      </c>
      <c r="F1568" s="152">
        <v>1</v>
      </c>
      <c r="G1568" s="149"/>
    </row>
    <row r="1569" spans="1:7" ht="15.75" x14ac:dyDescent="0.3">
      <c r="A1569" s="148" t="s">
        <v>433</v>
      </c>
      <c r="B1569" s="149">
        <v>1118776</v>
      </c>
      <c r="C1569" s="148" t="s">
        <v>1711</v>
      </c>
      <c r="D1569" s="150">
        <v>1134.94</v>
      </c>
      <c r="E1569" s="151" t="s">
        <v>9</v>
      </c>
      <c r="F1569" s="152">
        <v>1</v>
      </c>
      <c r="G1569" s="149"/>
    </row>
    <row r="1570" spans="1:7" ht="15.75" x14ac:dyDescent="0.3">
      <c r="A1570" s="148" t="s">
        <v>433</v>
      </c>
      <c r="B1570" s="149">
        <v>1018267</v>
      </c>
      <c r="C1570" s="148" t="s">
        <v>1712</v>
      </c>
      <c r="D1570" s="150">
        <v>67.28</v>
      </c>
      <c r="E1570" s="151" t="s">
        <v>9</v>
      </c>
      <c r="F1570" s="152">
        <v>1</v>
      </c>
      <c r="G1570" s="149"/>
    </row>
    <row r="1571" spans="1:7" ht="15.75" x14ac:dyDescent="0.3">
      <c r="A1571" s="148" t="s">
        <v>433</v>
      </c>
      <c r="B1571" s="149">
        <v>1018269</v>
      </c>
      <c r="C1571" s="148" t="s">
        <v>1713</v>
      </c>
      <c r="D1571" s="150">
        <v>67.28</v>
      </c>
      <c r="E1571" s="151" t="s">
        <v>9</v>
      </c>
      <c r="F1571" s="152">
        <v>1</v>
      </c>
      <c r="G1571" s="149"/>
    </row>
    <row r="1572" spans="1:7" ht="15.75" x14ac:dyDescent="0.3">
      <c r="A1572" s="148" t="s">
        <v>433</v>
      </c>
      <c r="B1572" s="149">
        <v>1018268</v>
      </c>
      <c r="C1572" s="148" t="s">
        <v>1714</v>
      </c>
      <c r="D1572" s="150">
        <v>127.63</v>
      </c>
      <c r="E1572" s="151" t="s">
        <v>9</v>
      </c>
      <c r="F1572" s="152">
        <v>1</v>
      </c>
      <c r="G1572" s="149"/>
    </row>
    <row r="1573" spans="1:7" ht="15.75" x14ac:dyDescent="0.3">
      <c r="A1573" s="148" t="s">
        <v>433</v>
      </c>
      <c r="B1573" s="149">
        <v>1083871</v>
      </c>
      <c r="C1573" s="148" t="s">
        <v>1715</v>
      </c>
      <c r="D1573" s="150">
        <v>181.21</v>
      </c>
      <c r="E1573" s="151" t="s">
        <v>9</v>
      </c>
      <c r="F1573" s="152">
        <v>1</v>
      </c>
      <c r="G1573" s="149">
        <v>16</v>
      </c>
    </row>
    <row r="1574" spans="1:7" ht="15.75" x14ac:dyDescent="0.3">
      <c r="A1574" s="148" t="s">
        <v>433</v>
      </c>
      <c r="B1574" s="149">
        <v>1034202</v>
      </c>
      <c r="C1574" s="148" t="s">
        <v>1716</v>
      </c>
      <c r="D1574" s="150">
        <v>99</v>
      </c>
      <c r="E1574" s="151" t="s">
        <v>9</v>
      </c>
      <c r="F1574" s="152">
        <v>1</v>
      </c>
      <c r="G1574" s="149">
        <v>40</v>
      </c>
    </row>
    <row r="1575" spans="1:7" ht="15.75" x14ac:dyDescent="0.3">
      <c r="A1575" s="148" t="s">
        <v>433</v>
      </c>
      <c r="B1575" s="149">
        <v>1034203</v>
      </c>
      <c r="C1575" s="148" t="s">
        <v>1717</v>
      </c>
      <c r="D1575" s="150">
        <v>119.88</v>
      </c>
      <c r="E1575" s="151" t="s">
        <v>9</v>
      </c>
      <c r="F1575" s="152">
        <v>1</v>
      </c>
      <c r="G1575" s="149">
        <v>30</v>
      </c>
    </row>
    <row r="1576" spans="1:7" ht="15.75" x14ac:dyDescent="0.3">
      <c r="A1576" s="148" t="s">
        <v>433</v>
      </c>
      <c r="B1576" s="149">
        <v>1034204</v>
      </c>
      <c r="C1576" s="148" t="s">
        <v>1718</v>
      </c>
      <c r="D1576" s="150">
        <v>143.52000000000001</v>
      </c>
      <c r="E1576" s="151" t="s">
        <v>9</v>
      </c>
      <c r="F1576" s="152">
        <v>1</v>
      </c>
      <c r="G1576" s="149">
        <v>20</v>
      </c>
    </row>
    <row r="1577" spans="1:7" ht="15.75" x14ac:dyDescent="0.3">
      <c r="A1577" s="148" t="s">
        <v>433</v>
      </c>
      <c r="B1577" s="149">
        <v>1090415</v>
      </c>
      <c r="C1577" s="148" t="s">
        <v>1719</v>
      </c>
      <c r="D1577" s="150">
        <v>157.01</v>
      </c>
      <c r="E1577" s="151" t="s">
        <v>9</v>
      </c>
      <c r="F1577" s="152">
        <v>1</v>
      </c>
      <c r="G1577" s="149"/>
    </row>
    <row r="1578" spans="1:7" ht="15.75" x14ac:dyDescent="0.3">
      <c r="A1578" s="148" t="s">
        <v>433</v>
      </c>
      <c r="B1578" s="149">
        <v>1030269</v>
      </c>
      <c r="C1578" s="148" t="s">
        <v>1720</v>
      </c>
      <c r="D1578" s="150">
        <v>388.69</v>
      </c>
      <c r="E1578" s="151" t="s">
        <v>9</v>
      </c>
      <c r="F1578" s="152">
        <v>9</v>
      </c>
      <c r="G1578" s="149"/>
    </row>
    <row r="1579" spans="1:7" ht="15.75" x14ac:dyDescent="0.3">
      <c r="A1579" s="148" t="s">
        <v>433</v>
      </c>
      <c r="B1579" s="149">
        <v>1030270</v>
      </c>
      <c r="C1579" s="148" t="s">
        <v>1721</v>
      </c>
      <c r="D1579" s="150">
        <v>538.05999999999995</v>
      </c>
      <c r="E1579" s="151" t="s">
        <v>9</v>
      </c>
      <c r="F1579" s="152">
        <v>9</v>
      </c>
      <c r="G1579" s="149"/>
    </row>
    <row r="1580" spans="1:7" ht="15.75" x14ac:dyDescent="0.3">
      <c r="A1580" s="148" t="s">
        <v>433</v>
      </c>
      <c r="B1580" s="149">
        <v>1036014</v>
      </c>
      <c r="C1580" s="148" t="s">
        <v>1722</v>
      </c>
      <c r="D1580" s="150">
        <v>559.41</v>
      </c>
      <c r="E1580" s="151" t="s">
        <v>9</v>
      </c>
      <c r="F1580" s="152">
        <v>1</v>
      </c>
      <c r="G1580" s="149"/>
    </row>
    <row r="1581" spans="1:7" ht="15.75" x14ac:dyDescent="0.3">
      <c r="A1581" s="148" t="s">
        <v>433</v>
      </c>
      <c r="B1581" s="149">
        <v>1044136</v>
      </c>
      <c r="C1581" s="148" t="s">
        <v>1723</v>
      </c>
      <c r="D1581" s="150">
        <v>23.93</v>
      </c>
      <c r="E1581" s="151" t="s">
        <v>7</v>
      </c>
      <c r="F1581" s="152">
        <v>1</v>
      </c>
      <c r="G1581" s="149"/>
    </row>
    <row r="1582" spans="1:7" ht="15.75" x14ac:dyDescent="0.3">
      <c r="A1582" s="148" t="s">
        <v>462</v>
      </c>
      <c r="B1582" s="149">
        <v>1095664</v>
      </c>
      <c r="C1582" s="148" t="s">
        <v>1724</v>
      </c>
      <c r="D1582" s="150">
        <v>4163.2700000000004</v>
      </c>
      <c r="E1582" s="151" t="s">
        <v>9</v>
      </c>
      <c r="F1582" s="152">
        <v>1</v>
      </c>
      <c r="G1582" s="149">
        <v>14</v>
      </c>
    </row>
    <row r="1583" spans="1:7" ht="15.75" x14ac:dyDescent="0.3">
      <c r="A1583" s="148" t="s">
        <v>462</v>
      </c>
      <c r="B1583" s="149">
        <v>1095665</v>
      </c>
      <c r="C1583" s="148" t="s">
        <v>1725</v>
      </c>
      <c r="D1583" s="150">
        <v>4452.43</v>
      </c>
      <c r="E1583" s="151" t="s">
        <v>9</v>
      </c>
      <c r="F1583" s="152">
        <v>1</v>
      </c>
      <c r="G1583" s="149">
        <v>14</v>
      </c>
    </row>
    <row r="1584" spans="1:7" ht="15.75" x14ac:dyDescent="0.3">
      <c r="A1584" s="148" t="s">
        <v>462</v>
      </c>
      <c r="B1584" s="149">
        <v>1095666</v>
      </c>
      <c r="C1584" s="148" t="s">
        <v>1726</v>
      </c>
      <c r="D1584" s="150">
        <v>4281.16</v>
      </c>
      <c r="E1584" s="151" t="s">
        <v>9</v>
      </c>
      <c r="F1584" s="152">
        <v>1</v>
      </c>
      <c r="G1584" s="149">
        <v>14</v>
      </c>
    </row>
    <row r="1585" spans="1:7" ht="15.75" x14ac:dyDescent="0.3">
      <c r="A1585" s="148" t="s">
        <v>462</v>
      </c>
      <c r="B1585" s="149">
        <v>1095667</v>
      </c>
      <c r="C1585" s="148" t="s">
        <v>1727</v>
      </c>
      <c r="D1585" s="150">
        <v>4684.3599999999997</v>
      </c>
      <c r="E1585" s="151" t="s">
        <v>9</v>
      </c>
      <c r="F1585" s="152">
        <v>1</v>
      </c>
      <c r="G1585" s="149">
        <v>14</v>
      </c>
    </row>
    <row r="1586" spans="1:7" ht="15.75" x14ac:dyDescent="0.3">
      <c r="A1586" s="148" t="s">
        <v>462</v>
      </c>
      <c r="B1586" s="149">
        <v>1095672</v>
      </c>
      <c r="C1586" s="148" t="s">
        <v>1728</v>
      </c>
      <c r="D1586" s="150">
        <v>1641.86</v>
      </c>
      <c r="E1586" s="151" t="s">
        <v>9</v>
      </c>
      <c r="F1586" s="152">
        <v>1</v>
      </c>
      <c r="G1586" s="149">
        <v>5</v>
      </c>
    </row>
    <row r="1587" spans="1:7" ht="15.75" x14ac:dyDescent="0.3">
      <c r="A1587" s="148" t="s">
        <v>462</v>
      </c>
      <c r="B1587" s="149">
        <v>1095673</v>
      </c>
      <c r="C1587" s="148" t="s">
        <v>1729</v>
      </c>
      <c r="D1587" s="150">
        <v>1679.75</v>
      </c>
      <c r="E1587" s="151" t="s">
        <v>9</v>
      </c>
      <c r="F1587" s="152">
        <v>1</v>
      </c>
      <c r="G1587" s="149">
        <v>5</v>
      </c>
    </row>
    <row r="1588" spans="1:7" ht="15.75" x14ac:dyDescent="0.3">
      <c r="A1588" s="148" t="s">
        <v>462</v>
      </c>
      <c r="B1588" s="149">
        <v>1095674</v>
      </c>
      <c r="C1588" s="148" t="s">
        <v>1730</v>
      </c>
      <c r="D1588" s="150">
        <v>1722.29</v>
      </c>
      <c r="E1588" s="151" t="s">
        <v>9</v>
      </c>
      <c r="F1588" s="152">
        <v>1</v>
      </c>
      <c r="G1588" s="149">
        <v>5</v>
      </c>
    </row>
    <row r="1589" spans="1:7" ht="15.75" x14ac:dyDescent="0.3">
      <c r="A1589" s="148" t="s">
        <v>462</v>
      </c>
      <c r="B1589" s="149">
        <v>1095675</v>
      </c>
      <c r="C1589" s="148" t="s">
        <v>1731</v>
      </c>
      <c r="D1589" s="150">
        <v>1763.78</v>
      </c>
      <c r="E1589" s="151" t="s">
        <v>9</v>
      </c>
      <c r="F1589" s="152">
        <v>1</v>
      </c>
      <c r="G1589" s="149">
        <v>5</v>
      </c>
    </row>
    <row r="1590" spans="1:7" ht="15.75" x14ac:dyDescent="0.3">
      <c r="A1590" s="148" t="s">
        <v>462</v>
      </c>
      <c r="B1590" s="149">
        <v>1095676</v>
      </c>
      <c r="C1590" s="148" t="s">
        <v>1732</v>
      </c>
      <c r="D1590" s="150">
        <v>1807.64</v>
      </c>
      <c r="E1590" s="151" t="s">
        <v>9</v>
      </c>
      <c r="F1590" s="152">
        <v>1</v>
      </c>
      <c r="G1590" s="149">
        <v>5</v>
      </c>
    </row>
    <row r="1591" spans="1:7" ht="15.75" x14ac:dyDescent="0.3">
      <c r="A1591" s="148" t="s">
        <v>462</v>
      </c>
      <c r="B1591" s="149">
        <v>1095677</v>
      </c>
      <c r="C1591" s="148" t="s">
        <v>1733</v>
      </c>
      <c r="D1591" s="150">
        <v>1854.57</v>
      </c>
      <c r="E1591" s="151" t="s">
        <v>9</v>
      </c>
      <c r="F1591" s="152">
        <v>1</v>
      </c>
      <c r="G1591" s="149">
        <v>5</v>
      </c>
    </row>
    <row r="1592" spans="1:7" ht="15.75" x14ac:dyDescent="0.3">
      <c r="A1592" s="148" t="s">
        <v>462</v>
      </c>
      <c r="B1592" s="149">
        <v>1095678</v>
      </c>
      <c r="C1592" s="148" t="s">
        <v>1734</v>
      </c>
      <c r="D1592" s="150">
        <v>1898.16</v>
      </c>
      <c r="E1592" s="151" t="s">
        <v>9</v>
      </c>
      <c r="F1592" s="152">
        <v>1</v>
      </c>
      <c r="G1592" s="149">
        <v>5</v>
      </c>
    </row>
    <row r="1593" spans="1:7" ht="15.75" x14ac:dyDescent="0.3">
      <c r="A1593" s="148" t="s">
        <v>462</v>
      </c>
      <c r="B1593" s="149">
        <v>1095679</v>
      </c>
      <c r="C1593" s="148" t="s">
        <v>1735</v>
      </c>
      <c r="D1593" s="150">
        <v>1942.01</v>
      </c>
      <c r="E1593" s="151" t="s">
        <v>9</v>
      </c>
      <c r="F1593" s="152">
        <v>1</v>
      </c>
      <c r="G1593" s="149">
        <v>5</v>
      </c>
    </row>
    <row r="1594" spans="1:7" ht="15.75" x14ac:dyDescent="0.3">
      <c r="A1594" s="148" t="s">
        <v>462</v>
      </c>
      <c r="B1594" s="149">
        <v>1095680</v>
      </c>
      <c r="C1594" s="148" t="s">
        <v>1736</v>
      </c>
      <c r="D1594" s="150">
        <v>1983.51</v>
      </c>
      <c r="E1594" s="151" t="s">
        <v>9</v>
      </c>
      <c r="F1594" s="152">
        <v>1</v>
      </c>
      <c r="G1594" s="149">
        <v>5</v>
      </c>
    </row>
    <row r="1595" spans="1:7" ht="15.75" x14ac:dyDescent="0.3">
      <c r="A1595" s="148" t="s">
        <v>462</v>
      </c>
      <c r="B1595" s="149">
        <v>1095692</v>
      </c>
      <c r="C1595" s="148" t="s">
        <v>1737</v>
      </c>
      <c r="D1595" s="150">
        <v>1221.29</v>
      </c>
      <c r="E1595" s="151" t="s">
        <v>9</v>
      </c>
      <c r="F1595" s="152">
        <v>1</v>
      </c>
      <c r="G1595" s="149">
        <v>4</v>
      </c>
    </row>
    <row r="1596" spans="1:7" ht="15.75" x14ac:dyDescent="0.3">
      <c r="A1596" s="148" t="s">
        <v>462</v>
      </c>
      <c r="B1596" s="149">
        <v>1095693</v>
      </c>
      <c r="C1596" s="148" t="s">
        <v>1738</v>
      </c>
      <c r="D1596" s="150">
        <v>1259.1600000000001</v>
      </c>
      <c r="E1596" s="151" t="s">
        <v>9</v>
      </c>
      <c r="F1596" s="152">
        <v>1</v>
      </c>
      <c r="G1596" s="149">
        <v>4</v>
      </c>
    </row>
    <row r="1597" spans="1:7" ht="15.75" x14ac:dyDescent="0.3">
      <c r="A1597" s="148" t="s">
        <v>462</v>
      </c>
      <c r="B1597" s="149">
        <v>1095694</v>
      </c>
      <c r="C1597" s="148" t="s">
        <v>1739</v>
      </c>
      <c r="D1597" s="150">
        <v>1301.74</v>
      </c>
      <c r="E1597" s="151" t="s">
        <v>9</v>
      </c>
      <c r="F1597" s="152">
        <v>1</v>
      </c>
      <c r="G1597" s="149">
        <v>4</v>
      </c>
    </row>
    <row r="1598" spans="1:7" ht="15.75" x14ac:dyDescent="0.3">
      <c r="A1598" s="148" t="s">
        <v>462</v>
      </c>
      <c r="B1598" s="149">
        <v>1095695</v>
      </c>
      <c r="C1598" s="148" t="s">
        <v>1740</v>
      </c>
      <c r="D1598" s="150">
        <v>1343.21</v>
      </c>
      <c r="E1598" s="151" t="s">
        <v>9</v>
      </c>
      <c r="F1598" s="152">
        <v>1</v>
      </c>
      <c r="G1598" s="149">
        <v>4</v>
      </c>
    </row>
    <row r="1599" spans="1:7" ht="15.75" x14ac:dyDescent="0.3">
      <c r="A1599" s="148" t="s">
        <v>462</v>
      </c>
      <c r="B1599" s="149">
        <v>1095696</v>
      </c>
      <c r="C1599" s="148" t="s">
        <v>1741</v>
      </c>
      <c r="D1599" s="150">
        <v>1387.07</v>
      </c>
      <c r="E1599" s="151" t="s">
        <v>9</v>
      </c>
      <c r="F1599" s="152">
        <v>1</v>
      </c>
      <c r="G1599" s="149">
        <v>4</v>
      </c>
    </row>
    <row r="1600" spans="1:7" ht="15.75" x14ac:dyDescent="0.3">
      <c r="A1600" s="148" t="s">
        <v>462</v>
      </c>
      <c r="B1600" s="149">
        <v>1095697</v>
      </c>
      <c r="C1600" s="148" t="s">
        <v>1742</v>
      </c>
      <c r="D1600" s="150">
        <v>1434.01</v>
      </c>
      <c r="E1600" s="151" t="s">
        <v>9</v>
      </c>
      <c r="F1600" s="152">
        <v>1</v>
      </c>
      <c r="G1600" s="149">
        <v>4</v>
      </c>
    </row>
    <row r="1601" spans="1:7" ht="15.75" x14ac:dyDescent="0.3">
      <c r="A1601" s="148" t="s">
        <v>462</v>
      </c>
      <c r="B1601" s="149">
        <v>1095698</v>
      </c>
      <c r="C1601" s="148" t="s">
        <v>1743</v>
      </c>
      <c r="D1601" s="150">
        <v>1477.63</v>
      </c>
      <c r="E1601" s="151" t="s">
        <v>9</v>
      </c>
      <c r="F1601" s="152">
        <v>1</v>
      </c>
      <c r="G1601" s="149">
        <v>4</v>
      </c>
    </row>
    <row r="1602" spans="1:7" ht="15.75" x14ac:dyDescent="0.3">
      <c r="A1602" s="148" t="s">
        <v>462</v>
      </c>
      <c r="B1602" s="149">
        <v>1095699</v>
      </c>
      <c r="C1602" s="148" t="s">
        <v>1744</v>
      </c>
      <c r="D1602" s="150">
        <v>1521.44</v>
      </c>
      <c r="E1602" s="151" t="s">
        <v>9</v>
      </c>
      <c r="F1602" s="152">
        <v>1</v>
      </c>
      <c r="G1602" s="149">
        <v>4</v>
      </c>
    </row>
    <row r="1603" spans="1:7" ht="15.75" x14ac:dyDescent="0.3">
      <c r="A1603" s="148" t="s">
        <v>462</v>
      </c>
      <c r="B1603" s="149">
        <v>1103138</v>
      </c>
      <c r="C1603" s="148" t="s">
        <v>1745</v>
      </c>
      <c r="D1603" s="150">
        <v>626.29</v>
      </c>
      <c r="E1603" s="151" t="s">
        <v>9</v>
      </c>
      <c r="F1603" s="152">
        <v>1</v>
      </c>
      <c r="G1603" s="149">
        <v>4</v>
      </c>
    </row>
    <row r="1604" spans="1:7" ht="15.75" x14ac:dyDescent="0.3">
      <c r="A1604" s="148" t="s">
        <v>462</v>
      </c>
      <c r="B1604" s="149">
        <v>1095705</v>
      </c>
      <c r="C1604" s="148" t="s">
        <v>1746</v>
      </c>
      <c r="D1604" s="150">
        <v>175.7</v>
      </c>
      <c r="E1604" s="151" t="s">
        <v>9</v>
      </c>
      <c r="F1604" s="152">
        <v>1</v>
      </c>
      <c r="G1604" s="149">
        <v>60</v>
      </c>
    </row>
    <row r="1605" spans="1:7" ht="15.75" x14ac:dyDescent="0.3">
      <c r="A1605" s="148" t="s">
        <v>462</v>
      </c>
      <c r="B1605" s="149">
        <v>1095707</v>
      </c>
      <c r="C1605" s="148" t="s">
        <v>1747</v>
      </c>
      <c r="D1605" s="150">
        <v>110.86</v>
      </c>
      <c r="E1605" s="151" t="s">
        <v>9</v>
      </c>
      <c r="F1605" s="152">
        <v>1</v>
      </c>
      <c r="G1605" s="149">
        <v>180</v>
      </c>
    </row>
    <row r="1606" spans="1:7" ht="15.75" x14ac:dyDescent="0.3">
      <c r="A1606" s="148" t="s">
        <v>462</v>
      </c>
      <c r="B1606" s="149">
        <v>1095708</v>
      </c>
      <c r="C1606" s="148" t="s">
        <v>1748</v>
      </c>
      <c r="D1606" s="150">
        <v>292.52999999999997</v>
      </c>
      <c r="E1606" s="151" t="s">
        <v>9</v>
      </c>
      <c r="F1606" s="152">
        <v>1</v>
      </c>
      <c r="G1606" s="149">
        <v>60</v>
      </c>
    </row>
    <row r="1607" spans="1:7" ht="15.75" x14ac:dyDescent="0.3">
      <c r="A1607" s="148" t="s">
        <v>462</v>
      </c>
      <c r="B1607" s="149">
        <v>1095706</v>
      </c>
      <c r="C1607" s="148" t="s">
        <v>1749</v>
      </c>
      <c r="D1607" s="150">
        <v>624.20000000000005</v>
      </c>
      <c r="E1607" s="151" t="s">
        <v>9</v>
      </c>
      <c r="F1607" s="152">
        <v>1</v>
      </c>
      <c r="G1607" s="149">
        <v>60</v>
      </c>
    </row>
    <row r="1608" spans="1:7" ht="15.75" x14ac:dyDescent="0.3">
      <c r="A1608" s="148" t="s">
        <v>462</v>
      </c>
      <c r="B1608" s="149">
        <v>1121009</v>
      </c>
      <c r="C1608" s="148" t="s">
        <v>1750</v>
      </c>
      <c r="D1608" s="150">
        <v>2381.2600000000002</v>
      </c>
      <c r="E1608" s="151" t="s">
        <v>9</v>
      </c>
      <c r="F1608" s="152">
        <v>1</v>
      </c>
      <c r="G1608" s="149">
        <v>16</v>
      </c>
    </row>
    <row r="1609" spans="1:7" ht="15.75" x14ac:dyDescent="0.3">
      <c r="A1609" s="148" t="s">
        <v>463</v>
      </c>
      <c r="B1609" s="149">
        <v>1135500</v>
      </c>
      <c r="C1609" s="148" t="s">
        <v>1751</v>
      </c>
      <c r="D1609" s="150">
        <v>173.35</v>
      </c>
      <c r="E1609" s="151" t="s">
        <v>9</v>
      </c>
      <c r="F1609" s="152">
        <v>1</v>
      </c>
      <c r="G1609" s="149">
        <v>21</v>
      </c>
    </row>
    <row r="1610" spans="1:7" ht="15.75" x14ac:dyDescent="0.3">
      <c r="A1610" s="148" t="s">
        <v>463</v>
      </c>
      <c r="B1610" s="149">
        <v>1046407</v>
      </c>
      <c r="C1610" s="148" t="s">
        <v>1752</v>
      </c>
      <c r="D1610" s="150">
        <v>25.52</v>
      </c>
      <c r="E1610" s="151" t="s">
        <v>9</v>
      </c>
      <c r="F1610" s="152">
        <v>1</v>
      </c>
      <c r="G1610" s="149">
        <v>25</v>
      </c>
    </row>
    <row r="1611" spans="1:7" ht="15.75" x14ac:dyDescent="0.3">
      <c r="A1611" s="148" t="s">
        <v>463</v>
      </c>
      <c r="B1611" s="149">
        <v>1046408</v>
      </c>
      <c r="C1611" s="148" t="s">
        <v>1753</v>
      </c>
      <c r="D1611" s="150">
        <v>25.52</v>
      </c>
      <c r="E1611" s="151" t="s">
        <v>9</v>
      </c>
      <c r="F1611" s="152">
        <v>1</v>
      </c>
      <c r="G1611" s="149">
        <v>25</v>
      </c>
    </row>
    <row r="1612" spans="1:7" ht="15.75" x14ac:dyDescent="0.3">
      <c r="A1612" s="148" t="s">
        <v>463</v>
      </c>
      <c r="B1612" s="149">
        <v>1089674</v>
      </c>
      <c r="C1612" s="148" t="s">
        <v>1754</v>
      </c>
      <c r="D1612" s="150">
        <v>66.05</v>
      </c>
      <c r="E1612" s="151" t="s">
        <v>9</v>
      </c>
      <c r="F1612" s="152">
        <v>1</v>
      </c>
      <c r="G1612" s="149">
        <v>36</v>
      </c>
    </row>
    <row r="1613" spans="1:7" ht="15.75" x14ac:dyDescent="0.3">
      <c r="A1613" s="148" t="s">
        <v>463</v>
      </c>
      <c r="B1613" s="149">
        <v>1089776</v>
      </c>
      <c r="C1613" s="148" t="s">
        <v>1755</v>
      </c>
      <c r="D1613" s="150">
        <v>12.01</v>
      </c>
      <c r="E1613" s="151" t="s">
        <v>9</v>
      </c>
      <c r="F1613" s="152">
        <v>1</v>
      </c>
      <c r="G1613" s="149">
        <v>150</v>
      </c>
    </row>
    <row r="1614" spans="1:7" ht="15.75" x14ac:dyDescent="0.3">
      <c r="A1614" s="148" t="s">
        <v>463</v>
      </c>
      <c r="B1614" s="149">
        <v>1089677</v>
      </c>
      <c r="C1614" s="148" t="s">
        <v>1756</v>
      </c>
      <c r="D1614" s="150">
        <v>50.99</v>
      </c>
      <c r="E1614" s="151" t="s">
        <v>9</v>
      </c>
      <c r="F1614" s="152">
        <v>1</v>
      </c>
      <c r="G1614" s="149">
        <v>12</v>
      </c>
    </row>
    <row r="1615" spans="1:7" ht="15.75" x14ac:dyDescent="0.3">
      <c r="A1615" s="148" t="s">
        <v>463</v>
      </c>
      <c r="B1615" s="149">
        <v>1089779</v>
      </c>
      <c r="C1615" s="148" t="s">
        <v>1757</v>
      </c>
      <c r="D1615" s="150">
        <v>21.71</v>
      </c>
      <c r="E1615" s="151" t="s">
        <v>9</v>
      </c>
      <c r="F1615" s="152">
        <v>1</v>
      </c>
      <c r="G1615" s="149">
        <v>50</v>
      </c>
    </row>
    <row r="1616" spans="1:7" ht="15.75" x14ac:dyDescent="0.3">
      <c r="A1616" s="148" t="s">
        <v>463</v>
      </c>
      <c r="B1616" s="149">
        <v>1089675</v>
      </c>
      <c r="C1616" s="148" t="s">
        <v>1758</v>
      </c>
      <c r="D1616" s="150">
        <v>54.21</v>
      </c>
      <c r="E1616" s="151" t="s">
        <v>9</v>
      </c>
      <c r="F1616" s="152">
        <v>1</v>
      </c>
      <c r="G1616" s="149">
        <v>12</v>
      </c>
    </row>
    <row r="1617" spans="1:7" ht="15.75" x14ac:dyDescent="0.3">
      <c r="A1617" s="148" t="s">
        <v>463</v>
      </c>
      <c r="B1617" s="149">
        <v>1089777</v>
      </c>
      <c r="C1617" s="148" t="s">
        <v>1759</v>
      </c>
      <c r="D1617" s="150">
        <v>8.18</v>
      </c>
      <c r="E1617" s="151" t="s">
        <v>9</v>
      </c>
      <c r="F1617" s="152">
        <v>1</v>
      </c>
      <c r="G1617" s="149">
        <v>50</v>
      </c>
    </row>
    <row r="1618" spans="1:7" ht="15.75" x14ac:dyDescent="0.3">
      <c r="A1618" s="148" t="s">
        <v>463</v>
      </c>
      <c r="B1618" s="149">
        <v>1089676</v>
      </c>
      <c r="C1618" s="148" t="s">
        <v>1760</v>
      </c>
      <c r="D1618" s="150">
        <v>104.78</v>
      </c>
      <c r="E1618" s="151" t="s">
        <v>9</v>
      </c>
      <c r="F1618" s="152">
        <v>1</v>
      </c>
      <c r="G1618" s="149">
        <v>8</v>
      </c>
    </row>
    <row r="1619" spans="1:7" ht="15.75" x14ac:dyDescent="0.3">
      <c r="A1619" s="148" t="s">
        <v>463</v>
      </c>
      <c r="B1619" s="149">
        <v>1089778</v>
      </c>
      <c r="C1619" s="148" t="s">
        <v>1761</v>
      </c>
      <c r="D1619" s="150">
        <v>11.61</v>
      </c>
      <c r="E1619" s="151" t="s">
        <v>9</v>
      </c>
      <c r="F1619" s="152">
        <v>1</v>
      </c>
      <c r="G1619" s="149">
        <v>50</v>
      </c>
    </row>
    <row r="1620" spans="1:7" ht="15.75" x14ac:dyDescent="0.3">
      <c r="A1620" s="148" t="s">
        <v>463</v>
      </c>
      <c r="B1620" s="149">
        <v>1089673</v>
      </c>
      <c r="C1620" s="148" t="s">
        <v>1762</v>
      </c>
      <c r="D1620" s="150">
        <v>29.93</v>
      </c>
      <c r="E1620" s="151" t="s">
        <v>9</v>
      </c>
      <c r="F1620" s="152">
        <v>1</v>
      </c>
      <c r="G1620" s="149">
        <v>36</v>
      </c>
    </row>
    <row r="1621" spans="1:7" ht="15.75" x14ac:dyDescent="0.3">
      <c r="A1621" s="148" t="s">
        <v>463</v>
      </c>
      <c r="B1621" s="149">
        <v>1089780</v>
      </c>
      <c r="C1621" s="148" t="s">
        <v>1763</v>
      </c>
      <c r="D1621" s="150">
        <v>11.27</v>
      </c>
      <c r="E1621" s="151" t="s">
        <v>9</v>
      </c>
      <c r="F1621" s="152">
        <v>1</v>
      </c>
      <c r="G1621" s="149">
        <v>150</v>
      </c>
    </row>
    <row r="1622" spans="1:7" ht="15.75" x14ac:dyDescent="0.3">
      <c r="A1622" s="148" t="s">
        <v>463</v>
      </c>
      <c r="B1622" s="149">
        <v>1119197</v>
      </c>
      <c r="C1622" s="148" t="s">
        <v>1764</v>
      </c>
      <c r="D1622" s="150">
        <v>69.27</v>
      </c>
      <c r="E1622" s="151" t="s">
        <v>9</v>
      </c>
      <c r="F1622" s="152">
        <v>1</v>
      </c>
      <c r="G1622" s="149">
        <v>12</v>
      </c>
    </row>
    <row r="1623" spans="1:7" ht="15.75" x14ac:dyDescent="0.3">
      <c r="A1623" s="148" t="s">
        <v>463</v>
      </c>
      <c r="B1623" s="149">
        <v>1119198</v>
      </c>
      <c r="C1623" s="148" t="s">
        <v>1765</v>
      </c>
      <c r="D1623" s="150">
        <v>4.09</v>
      </c>
      <c r="E1623" s="151" t="s">
        <v>9</v>
      </c>
      <c r="F1623" s="152">
        <v>1</v>
      </c>
      <c r="G1623" s="149">
        <v>50</v>
      </c>
    </row>
    <row r="1624" spans="1:7" ht="15.75" x14ac:dyDescent="0.3">
      <c r="A1624" s="148" t="s">
        <v>463</v>
      </c>
      <c r="B1624" s="149">
        <v>1014334</v>
      </c>
      <c r="C1624" s="148" t="s">
        <v>1766</v>
      </c>
      <c r="D1624" s="150">
        <v>640.57000000000005</v>
      </c>
      <c r="E1624" s="151" t="s">
        <v>9</v>
      </c>
      <c r="F1624" s="152">
        <v>1</v>
      </c>
      <c r="G1624" s="149">
        <v>32</v>
      </c>
    </row>
    <row r="1625" spans="1:7" ht="15.75" x14ac:dyDescent="0.3">
      <c r="A1625" s="148" t="s">
        <v>463</v>
      </c>
      <c r="B1625" s="149">
        <v>1014320</v>
      </c>
      <c r="C1625" s="148" t="s">
        <v>1767</v>
      </c>
      <c r="D1625" s="150">
        <v>28.47</v>
      </c>
      <c r="E1625" s="151" t="s">
        <v>9</v>
      </c>
      <c r="F1625" s="152">
        <v>1</v>
      </c>
      <c r="G1625" s="149">
        <v>100</v>
      </c>
    </row>
    <row r="1626" spans="1:7" ht="15.75" x14ac:dyDescent="0.3">
      <c r="A1626" s="148" t="s">
        <v>463</v>
      </c>
      <c r="B1626" s="149">
        <v>1006638</v>
      </c>
      <c r="C1626" s="148" t="s">
        <v>1768</v>
      </c>
      <c r="D1626" s="150">
        <v>46.05</v>
      </c>
      <c r="E1626" s="151" t="s">
        <v>9</v>
      </c>
      <c r="F1626" s="152">
        <v>1</v>
      </c>
      <c r="G1626" s="149">
        <v>600</v>
      </c>
    </row>
    <row r="1627" spans="1:7" ht="15.75" x14ac:dyDescent="0.3">
      <c r="A1627" s="148" t="s">
        <v>463</v>
      </c>
      <c r="B1627" s="149">
        <v>1015808</v>
      </c>
      <c r="C1627" s="148" t="s">
        <v>1769</v>
      </c>
      <c r="D1627" s="150">
        <v>52.05</v>
      </c>
      <c r="E1627" s="151" t="s">
        <v>9</v>
      </c>
      <c r="F1627" s="152">
        <v>1</v>
      </c>
      <c r="G1627" s="149">
        <v>600</v>
      </c>
    </row>
    <row r="1628" spans="1:7" ht="15.75" x14ac:dyDescent="0.3">
      <c r="A1628" s="148" t="s">
        <v>463</v>
      </c>
      <c r="B1628" s="149">
        <v>1014339</v>
      </c>
      <c r="C1628" s="148" t="s">
        <v>1770</v>
      </c>
      <c r="D1628" s="150">
        <v>66.05</v>
      </c>
      <c r="E1628" s="151" t="s">
        <v>9</v>
      </c>
      <c r="F1628" s="152">
        <v>1</v>
      </c>
      <c r="G1628" s="149">
        <v>600</v>
      </c>
    </row>
    <row r="1629" spans="1:7" ht="15.75" x14ac:dyDescent="0.3">
      <c r="A1629" s="148" t="s">
        <v>463</v>
      </c>
      <c r="B1629" s="149">
        <v>1014344</v>
      </c>
      <c r="C1629" s="148" t="s">
        <v>1771</v>
      </c>
      <c r="D1629" s="150">
        <v>84.07</v>
      </c>
      <c r="E1629" s="151" t="s">
        <v>9</v>
      </c>
      <c r="F1629" s="152">
        <v>1</v>
      </c>
      <c r="G1629" s="149">
        <v>600</v>
      </c>
    </row>
    <row r="1630" spans="1:7" ht="15.75" x14ac:dyDescent="0.3">
      <c r="A1630" s="148" t="s">
        <v>463</v>
      </c>
      <c r="B1630" s="149">
        <v>1060167</v>
      </c>
      <c r="C1630" s="148" t="s">
        <v>1772</v>
      </c>
      <c r="D1630" s="150">
        <v>11.59</v>
      </c>
      <c r="E1630" s="151" t="s">
        <v>9</v>
      </c>
      <c r="F1630" s="152">
        <v>1</v>
      </c>
      <c r="G1630" s="149">
        <v>50</v>
      </c>
    </row>
    <row r="1631" spans="1:7" ht="15.75" x14ac:dyDescent="0.3">
      <c r="A1631" s="148" t="s">
        <v>463</v>
      </c>
      <c r="B1631" s="149">
        <v>1119199</v>
      </c>
      <c r="C1631" s="148" t="s">
        <v>1773</v>
      </c>
      <c r="D1631" s="150">
        <v>68.599999999999994</v>
      </c>
      <c r="E1631" s="151" t="s">
        <v>9</v>
      </c>
      <c r="F1631" s="152">
        <v>1</v>
      </c>
      <c r="G1631" s="149">
        <v>33</v>
      </c>
    </row>
    <row r="1632" spans="1:7" ht="15.75" x14ac:dyDescent="0.3">
      <c r="A1632" s="148" t="s">
        <v>463</v>
      </c>
      <c r="B1632" s="149">
        <v>1119200</v>
      </c>
      <c r="C1632" s="148" t="s">
        <v>1774</v>
      </c>
      <c r="D1632" s="150">
        <v>1.33</v>
      </c>
      <c r="E1632" s="151" t="s">
        <v>9</v>
      </c>
      <c r="F1632" s="152">
        <v>5</v>
      </c>
      <c r="G1632" s="149">
        <v>20</v>
      </c>
    </row>
    <row r="1633" spans="1:7" ht="15.75" x14ac:dyDescent="0.3">
      <c r="A1633" s="148" t="s">
        <v>463</v>
      </c>
      <c r="B1633" s="149">
        <v>1013729</v>
      </c>
      <c r="C1633" s="148" t="s">
        <v>1775</v>
      </c>
      <c r="D1633" s="150">
        <v>5</v>
      </c>
      <c r="E1633" s="151" t="s">
        <v>9</v>
      </c>
      <c r="F1633" s="152">
        <v>1</v>
      </c>
      <c r="G1633" s="149">
        <v>100</v>
      </c>
    </row>
    <row r="1634" spans="1:7" ht="15.75" x14ac:dyDescent="0.3">
      <c r="A1634" s="148" t="s">
        <v>463</v>
      </c>
      <c r="B1634" s="149">
        <v>1013734</v>
      </c>
      <c r="C1634" s="148" t="s">
        <v>1776</v>
      </c>
      <c r="D1634" s="150">
        <v>8.02</v>
      </c>
      <c r="E1634" s="151" t="s">
        <v>9</v>
      </c>
      <c r="F1634" s="152">
        <v>1</v>
      </c>
      <c r="G1634" s="149">
        <v>75</v>
      </c>
    </row>
    <row r="1635" spans="1:7" ht="15.75" x14ac:dyDescent="0.3">
      <c r="A1635" s="148" t="s">
        <v>463</v>
      </c>
      <c r="B1635" s="149">
        <v>1013737</v>
      </c>
      <c r="C1635" s="148" t="s">
        <v>1777</v>
      </c>
      <c r="D1635" s="150">
        <v>8.02</v>
      </c>
      <c r="E1635" s="151" t="s">
        <v>9</v>
      </c>
      <c r="F1635" s="152">
        <v>1</v>
      </c>
      <c r="G1635" s="149">
        <v>50</v>
      </c>
    </row>
    <row r="1636" spans="1:7" ht="15.75" x14ac:dyDescent="0.3">
      <c r="A1636" s="148" t="s">
        <v>463</v>
      </c>
      <c r="B1636" s="149">
        <v>1013739</v>
      </c>
      <c r="C1636" s="148" t="s">
        <v>1778</v>
      </c>
      <c r="D1636" s="150">
        <v>12.01</v>
      </c>
      <c r="E1636" s="151" t="s">
        <v>9</v>
      </c>
      <c r="F1636" s="152">
        <v>1</v>
      </c>
      <c r="G1636" s="149">
        <v>40</v>
      </c>
    </row>
    <row r="1637" spans="1:7" ht="15.75" x14ac:dyDescent="0.3">
      <c r="A1637" s="148" t="s">
        <v>463</v>
      </c>
      <c r="B1637" s="149">
        <v>1006639</v>
      </c>
      <c r="C1637" s="148" t="s">
        <v>1779</v>
      </c>
      <c r="D1637" s="150">
        <v>10.02</v>
      </c>
      <c r="E1637" s="151" t="s">
        <v>9</v>
      </c>
      <c r="F1637" s="152">
        <v>1</v>
      </c>
      <c r="G1637" s="149">
        <v>550</v>
      </c>
    </row>
    <row r="1638" spans="1:7" ht="15.75" x14ac:dyDescent="0.3">
      <c r="A1638" s="148" t="s">
        <v>463</v>
      </c>
      <c r="B1638" s="149">
        <v>1006640</v>
      </c>
      <c r="C1638" s="148" t="s">
        <v>1780</v>
      </c>
      <c r="D1638" s="150">
        <v>10.02</v>
      </c>
      <c r="E1638" s="151" t="s">
        <v>9</v>
      </c>
      <c r="F1638" s="152">
        <v>1</v>
      </c>
      <c r="G1638" s="149">
        <v>55</v>
      </c>
    </row>
    <row r="1639" spans="1:7" ht="15.75" x14ac:dyDescent="0.3">
      <c r="A1639" s="148" t="s">
        <v>463</v>
      </c>
      <c r="B1639" s="149">
        <v>1013792</v>
      </c>
      <c r="C1639" s="148" t="s">
        <v>1781</v>
      </c>
      <c r="D1639" s="150">
        <v>10.02</v>
      </c>
      <c r="E1639" s="151" t="s">
        <v>9</v>
      </c>
      <c r="F1639" s="152">
        <v>1</v>
      </c>
      <c r="G1639" s="149">
        <v>45</v>
      </c>
    </row>
    <row r="1640" spans="1:7" ht="15.75" x14ac:dyDescent="0.3">
      <c r="A1640" s="148" t="s">
        <v>463</v>
      </c>
      <c r="B1640" s="149">
        <v>1013794</v>
      </c>
      <c r="C1640" s="148" t="s">
        <v>1782</v>
      </c>
      <c r="D1640" s="150">
        <v>10.02</v>
      </c>
      <c r="E1640" s="151" t="s">
        <v>9</v>
      </c>
      <c r="F1640" s="152">
        <v>1</v>
      </c>
      <c r="G1640" s="149">
        <v>45</v>
      </c>
    </row>
    <row r="1641" spans="1:7" ht="15.75" x14ac:dyDescent="0.3">
      <c r="A1641" s="148" t="s">
        <v>463</v>
      </c>
      <c r="B1641" s="149">
        <v>1071925</v>
      </c>
      <c r="C1641" s="148" t="s">
        <v>1783</v>
      </c>
      <c r="D1641" s="150">
        <v>580.95000000000005</v>
      </c>
      <c r="E1641" s="151" t="s">
        <v>9</v>
      </c>
      <c r="F1641" s="152">
        <v>1</v>
      </c>
      <c r="G1641" s="149">
        <v>100</v>
      </c>
    </row>
    <row r="1642" spans="1:7" ht="15.75" x14ac:dyDescent="0.3">
      <c r="A1642" s="148" t="s">
        <v>463</v>
      </c>
      <c r="B1642" s="149">
        <v>1015764</v>
      </c>
      <c r="C1642" s="148" t="s">
        <v>1784</v>
      </c>
      <c r="D1642" s="150">
        <v>360.32</v>
      </c>
      <c r="E1642" s="151" t="s">
        <v>9</v>
      </c>
      <c r="F1642" s="152">
        <v>1</v>
      </c>
      <c r="G1642" s="149">
        <v>100</v>
      </c>
    </row>
    <row r="1643" spans="1:7" ht="15.75" x14ac:dyDescent="0.3">
      <c r="A1643" s="148" t="s">
        <v>463</v>
      </c>
      <c r="B1643" s="149">
        <v>1015776</v>
      </c>
      <c r="C1643" s="148" t="s">
        <v>1785</v>
      </c>
      <c r="D1643" s="150">
        <v>48.05</v>
      </c>
      <c r="E1643" s="151" t="s">
        <v>9</v>
      </c>
      <c r="F1643" s="152">
        <v>1</v>
      </c>
      <c r="G1643" s="149">
        <v>400</v>
      </c>
    </row>
    <row r="1644" spans="1:7" ht="15.75" x14ac:dyDescent="0.3">
      <c r="A1644" s="148" t="s">
        <v>463</v>
      </c>
      <c r="B1644" s="149">
        <v>1015777</v>
      </c>
      <c r="C1644" s="148" t="s">
        <v>1786</v>
      </c>
      <c r="D1644" s="150">
        <v>48.05</v>
      </c>
      <c r="E1644" s="151" t="s">
        <v>9</v>
      </c>
      <c r="F1644" s="152">
        <v>1</v>
      </c>
      <c r="G1644" s="149">
        <v>50</v>
      </c>
    </row>
    <row r="1645" spans="1:7" ht="15.75" x14ac:dyDescent="0.3">
      <c r="A1645" s="148" t="s">
        <v>463</v>
      </c>
      <c r="B1645" s="149">
        <v>1015780</v>
      </c>
      <c r="C1645" s="148" t="s">
        <v>1787</v>
      </c>
      <c r="D1645" s="150">
        <v>48.05</v>
      </c>
      <c r="E1645" s="151" t="s">
        <v>9</v>
      </c>
      <c r="F1645" s="152">
        <v>1</v>
      </c>
      <c r="G1645" s="149">
        <v>50</v>
      </c>
    </row>
    <row r="1646" spans="1:7" ht="15.75" x14ac:dyDescent="0.3">
      <c r="A1646" s="148" t="s">
        <v>463</v>
      </c>
      <c r="B1646" s="149">
        <v>1083610</v>
      </c>
      <c r="C1646" s="148" t="s">
        <v>1788</v>
      </c>
      <c r="D1646" s="150">
        <v>149.65</v>
      </c>
      <c r="E1646" s="151" t="s">
        <v>9</v>
      </c>
      <c r="F1646" s="152">
        <v>1</v>
      </c>
      <c r="G1646" s="149">
        <v>72</v>
      </c>
    </row>
    <row r="1647" spans="1:7" ht="15.75" x14ac:dyDescent="0.3">
      <c r="A1647" s="148" t="s">
        <v>463</v>
      </c>
      <c r="B1647" s="149">
        <v>1007082</v>
      </c>
      <c r="C1647" s="148" t="s">
        <v>1789</v>
      </c>
      <c r="D1647" s="150">
        <v>1421.3</v>
      </c>
      <c r="E1647" s="151" t="s">
        <v>9</v>
      </c>
      <c r="F1647" s="152">
        <v>1</v>
      </c>
      <c r="G1647" s="149">
        <v>20</v>
      </c>
    </row>
    <row r="1648" spans="1:7" ht="15.75" x14ac:dyDescent="0.3">
      <c r="A1648" s="148" t="s">
        <v>463</v>
      </c>
      <c r="B1648" s="149">
        <v>1007084</v>
      </c>
      <c r="C1648" s="148" t="s">
        <v>1790</v>
      </c>
      <c r="D1648" s="150">
        <v>152.13999999999999</v>
      </c>
      <c r="E1648" s="151" t="s">
        <v>9</v>
      </c>
      <c r="F1648" s="152">
        <v>1</v>
      </c>
      <c r="G1648" s="149">
        <v>216</v>
      </c>
    </row>
    <row r="1649" spans="1:7" ht="15.75" x14ac:dyDescent="0.3">
      <c r="A1649" s="148" t="s">
        <v>463</v>
      </c>
      <c r="B1649" s="149">
        <v>1007086</v>
      </c>
      <c r="C1649" s="148" t="s">
        <v>1791</v>
      </c>
      <c r="D1649" s="150">
        <v>152.13999999999999</v>
      </c>
      <c r="E1649" s="151" t="s">
        <v>9</v>
      </c>
      <c r="F1649" s="152">
        <v>1</v>
      </c>
      <c r="G1649" s="149"/>
    </row>
    <row r="1650" spans="1:7" ht="15.75" x14ac:dyDescent="0.3">
      <c r="A1650" s="148" t="s">
        <v>463</v>
      </c>
      <c r="B1650" s="149">
        <v>1007087</v>
      </c>
      <c r="C1650" s="148" t="s">
        <v>1792</v>
      </c>
      <c r="D1650" s="150">
        <v>152.13999999999999</v>
      </c>
      <c r="E1650" s="151" t="s">
        <v>9</v>
      </c>
      <c r="F1650" s="152">
        <v>1</v>
      </c>
      <c r="G1650" s="149"/>
    </row>
    <row r="1651" spans="1:7" ht="15.75" x14ac:dyDescent="0.3">
      <c r="A1651" s="148" t="s">
        <v>463</v>
      </c>
      <c r="B1651" s="149">
        <v>1007088</v>
      </c>
      <c r="C1651" s="148" t="s">
        <v>1793</v>
      </c>
      <c r="D1651" s="150">
        <v>152.13999999999999</v>
      </c>
      <c r="E1651" s="151" t="s">
        <v>9</v>
      </c>
      <c r="F1651" s="152">
        <v>1</v>
      </c>
      <c r="G1651" s="149"/>
    </row>
    <row r="1652" spans="1:7" ht="15.75" x14ac:dyDescent="0.3">
      <c r="A1652" s="148" t="s">
        <v>463</v>
      </c>
      <c r="B1652" s="149">
        <v>1015768</v>
      </c>
      <c r="C1652" s="148" t="s">
        <v>1794</v>
      </c>
      <c r="D1652" s="150">
        <v>220.2</v>
      </c>
      <c r="E1652" s="151" t="s">
        <v>9</v>
      </c>
      <c r="F1652" s="152">
        <v>1</v>
      </c>
      <c r="G1652" s="149">
        <v>108</v>
      </c>
    </row>
    <row r="1653" spans="1:7" ht="15.75" x14ac:dyDescent="0.3">
      <c r="A1653" s="148" t="s">
        <v>463</v>
      </c>
      <c r="B1653" s="149">
        <v>1015792</v>
      </c>
      <c r="C1653" s="148" t="s">
        <v>1795</v>
      </c>
      <c r="D1653" s="150">
        <v>220.2</v>
      </c>
      <c r="E1653" s="151" t="s">
        <v>9</v>
      </c>
      <c r="F1653" s="152">
        <v>1</v>
      </c>
      <c r="G1653" s="149">
        <v>108</v>
      </c>
    </row>
    <row r="1654" spans="1:7" ht="15.75" x14ac:dyDescent="0.3">
      <c r="A1654" s="148" t="s">
        <v>463</v>
      </c>
      <c r="B1654" s="149">
        <v>1119189</v>
      </c>
      <c r="C1654" s="148" t="s">
        <v>1796</v>
      </c>
      <c r="D1654" s="150">
        <v>191.01</v>
      </c>
      <c r="E1654" s="151" t="s">
        <v>9</v>
      </c>
      <c r="F1654" s="152">
        <v>1</v>
      </c>
      <c r="G1654" s="149"/>
    </row>
    <row r="1655" spans="1:7" ht="15.75" x14ac:dyDescent="0.3">
      <c r="A1655" s="148" t="s">
        <v>463</v>
      </c>
      <c r="B1655" s="149">
        <v>1119190</v>
      </c>
      <c r="C1655" s="148" t="s">
        <v>1797</v>
      </c>
      <c r="D1655" s="150">
        <v>191.01</v>
      </c>
      <c r="E1655" s="151" t="s">
        <v>9</v>
      </c>
      <c r="F1655" s="152">
        <v>1</v>
      </c>
      <c r="G1655" s="149"/>
    </row>
    <row r="1656" spans="1:7" ht="15.75" x14ac:dyDescent="0.3">
      <c r="A1656" s="148" t="s">
        <v>463</v>
      </c>
      <c r="B1656" s="149">
        <v>1119191</v>
      </c>
      <c r="C1656" s="148" t="s">
        <v>1798</v>
      </c>
      <c r="D1656" s="150">
        <v>191.01</v>
      </c>
      <c r="E1656" s="151" t="s">
        <v>9</v>
      </c>
      <c r="F1656" s="152">
        <v>1</v>
      </c>
      <c r="G1656" s="149"/>
    </row>
    <row r="1657" spans="1:7" ht="15.75" x14ac:dyDescent="0.3">
      <c r="A1657" s="148" t="s">
        <v>463</v>
      </c>
      <c r="B1657" s="149">
        <v>1119192</v>
      </c>
      <c r="C1657" s="148" t="s">
        <v>1799</v>
      </c>
      <c r="D1657" s="150">
        <v>213.5</v>
      </c>
      <c r="E1657" s="151" t="s">
        <v>9</v>
      </c>
      <c r="F1657" s="152">
        <v>1</v>
      </c>
      <c r="G1657" s="149"/>
    </row>
    <row r="1658" spans="1:7" ht="15.75" x14ac:dyDescent="0.3">
      <c r="A1658" s="148" t="s">
        <v>463</v>
      </c>
      <c r="B1658" s="149">
        <v>1119193</v>
      </c>
      <c r="C1658" s="148" t="s">
        <v>1800</v>
      </c>
      <c r="D1658" s="150">
        <v>235.96</v>
      </c>
      <c r="E1658" s="151" t="s">
        <v>9</v>
      </c>
      <c r="F1658" s="152">
        <v>1</v>
      </c>
      <c r="G1658" s="149"/>
    </row>
    <row r="1659" spans="1:7" ht="15.75" x14ac:dyDescent="0.3">
      <c r="A1659" s="148" t="s">
        <v>463</v>
      </c>
      <c r="B1659" s="149">
        <v>1046545</v>
      </c>
      <c r="C1659" s="148" t="s">
        <v>1801</v>
      </c>
      <c r="D1659" s="150">
        <v>360.32</v>
      </c>
      <c r="E1659" s="151" t="s">
        <v>9</v>
      </c>
      <c r="F1659" s="152">
        <v>1</v>
      </c>
      <c r="G1659" s="149"/>
    </row>
    <row r="1660" spans="1:7" ht="15.75" x14ac:dyDescent="0.3">
      <c r="A1660" s="148" t="s">
        <v>463</v>
      </c>
      <c r="B1660" s="149">
        <v>1046541</v>
      </c>
      <c r="C1660" s="148" t="s">
        <v>1802</v>
      </c>
      <c r="D1660" s="150">
        <v>740.66</v>
      </c>
      <c r="E1660" s="151" t="s">
        <v>9</v>
      </c>
      <c r="F1660" s="152">
        <v>1</v>
      </c>
      <c r="G1660" s="149">
        <v>72</v>
      </c>
    </row>
    <row r="1661" spans="1:7" ht="15.75" x14ac:dyDescent="0.3">
      <c r="A1661" s="148" t="s">
        <v>463</v>
      </c>
      <c r="B1661" s="149">
        <v>1046542</v>
      </c>
      <c r="C1661" s="148" t="s">
        <v>1803</v>
      </c>
      <c r="D1661" s="150">
        <v>1020.94</v>
      </c>
      <c r="E1661" s="151" t="s">
        <v>9</v>
      </c>
      <c r="F1661" s="152">
        <v>1</v>
      </c>
      <c r="G1661" s="149">
        <v>72</v>
      </c>
    </row>
    <row r="1662" spans="1:7" ht="15.75" x14ac:dyDescent="0.3">
      <c r="A1662" s="148" t="s">
        <v>463</v>
      </c>
      <c r="B1662" s="149">
        <v>1046543</v>
      </c>
      <c r="C1662" s="148" t="s">
        <v>1804</v>
      </c>
      <c r="D1662" s="150">
        <v>1321.2</v>
      </c>
      <c r="E1662" s="151" t="s">
        <v>9</v>
      </c>
      <c r="F1662" s="152">
        <v>1</v>
      </c>
      <c r="G1662" s="149">
        <v>72</v>
      </c>
    </row>
    <row r="1663" spans="1:7" ht="15.75" x14ac:dyDescent="0.3">
      <c r="A1663" s="148" t="s">
        <v>463</v>
      </c>
      <c r="B1663" s="149">
        <v>1046544</v>
      </c>
      <c r="C1663" s="148" t="s">
        <v>1805</v>
      </c>
      <c r="D1663" s="150">
        <v>1441.32</v>
      </c>
      <c r="E1663" s="151" t="s">
        <v>9</v>
      </c>
      <c r="F1663" s="152">
        <v>1</v>
      </c>
      <c r="G1663" s="149">
        <v>54</v>
      </c>
    </row>
    <row r="1664" spans="1:7" ht="15.75" x14ac:dyDescent="0.3">
      <c r="A1664" s="148" t="s">
        <v>463</v>
      </c>
      <c r="B1664" s="149">
        <v>1119196</v>
      </c>
      <c r="C1664" s="148" t="s">
        <v>1806</v>
      </c>
      <c r="D1664" s="150">
        <v>275.27999999999997</v>
      </c>
      <c r="E1664" s="151" t="s">
        <v>9</v>
      </c>
      <c r="F1664" s="152">
        <v>1</v>
      </c>
      <c r="G1664" s="149"/>
    </row>
    <row r="1665" spans="1:7" ht="15.75" x14ac:dyDescent="0.3">
      <c r="A1665" s="148" t="s">
        <v>463</v>
      </c>
      <c r="B1665" s="149">
        <v>1119194</v>
      </c>
      <c r="C1665" s="148" t="s">
        <v>1807</v>
      </c>
      <c r="D1665" s="150">
        <v>1137.6500000000001</v>
      </c>
      <c r="E1665" s="151" t="s">
        <v>9</v>
      </c>
      <c r="F1665" s="152">
        <v>1</v>
      </c>
      <c r="G1665" s="149"/>
    </row>
    <row r="1666" spans="1:7" ht="15.75" x14ac:dyDescent="0.3">
      <c r="A1666" s="148" t="s">
        <v>463</v>
      </c>
      <c r="B1666" s="149">
        <v>1119195</v>
      </c>
      <c r="C1666" s="148" t="s">
        <v>1808</v>
      </c>
      <c r="D1666" s="150">
        <v>1165.75</v>
      </c>
      <c r="E1666" s="151" t="s">
        <v>9</v>
      </c>
      <c r="F1666" s="152">
        <v>1</v>
      </c>
      <c r="G1666" s="149"/>
    </row>
    <row r="1667" spans="1:7" ht="15.75" x14ac:dyDescent="0.3">
      <c r="A1667" s="148" t="s">
        <v>463</v>
      </c>
      <c r="B1667" s="149">
        <v>1083586</v>
      </c>
      <c r="C1667" s="148" t="s">
        <v>1809</v>
      </c>
      <c r="D1667" s="150">
        <v>1997.83</v>
      </c>
      <c r="E1667" s="151" t="s">
        <v>68</v>
      </c>
      <c r="F1667" s="152">
        <v>1</v>
      </c>
      <c r="G1667" s="149">
        <v>30</v>
      </c>
    </row>
    <row r="1668" spans="1:7" ht="15.75" x14ac:dyDescent="0.3">
      <c r="A1668" s="148" t="s">
        <v>463</v>
      </c>
      <c r="B1668" s="149">
        <v>1083605</v>
      </c>
      <c r="C1668" s="148" t="s">
        <v>1810</v>
      </c>
      <c r="D1668" s="150">
        <v>172.65</v>
      </c>
      <c r="E1668" s="151" t="s">
        <v>9</v>
      </c>
      <c r="F1668" s="152">
        <v>1</v>
      </c>
      <c r="G1668" s="149">
        <v>48</v>
      </c>
    </row>
    <row r="1669" spans="1:7" ht="15.75" x14ac:dyDescent="0.3">
      <c r="A1669" s="148" t="s">
        <v>463</v>
      </c>
      <c r="B1669" s="149">
        <v>1007091</v>
      </c>
      <c r="C1669" s="148" t="s">
        <v>1811</v>
      </c>
      <c r="D1669" s="150">
        <v>192.17</v>
      </c>
      <c r="E1669" s="151" t="s">
        <v>9</v>
      </c>
      <c r="F1669" s="152">
        <v>1</v>
      </c>
      <c r="G1669" s="149">
        <v>5</v>
      </c>
    </row>
    <row r="1670" spans="1:7" ht="15.75" x14ac:dyDescent="0.3">
      <c r="A1670" s="148" t="s">
        <v>463</v>
      </c>
      <c r="B1670" s="149">
        <v>1007093</v>
      </c>
      <c r="C1670" s="148" t="s">
        <v>1812</v>
      </c>
      <c r="D1670" s="150">
        <v>192.17</v>
      </c>
      <c r="E1670" s="151" t="s">
        <v>9</v>
      </c>
      <c r="F1670" s="152">
        <v>1</v>
      </c>
      <c r="G1670" s="149">
        <v>5</v>
      </c>
    </row>
    <row r="1671" spans="1:7" ht="15.75" x14ac:dyDescent="0.3">
      <c r="A1671" s="148" t="s">
        <v>463</v>
      </c>
      <c r="B1671" s="149">
        <v>1007094</v>
      </c>
      <c r="C1671" s="148" t="s">
        <v>1813</v>
      </c>
      <c r="D1671" s="150">
        <v>192.17</v>
      </c>
      <c r="E1671" s="151" t="s">
        <v>9</v>
      </c>
      <c r="F1671" s="152">
        <v>1</v>
      </c>
      <c r="G1671" s="149">
        <v>5</v>
      </c>
    </row>
    <row r="1672" spans="1:7" ht="15.75" x14ac:dyDescent="0.3">
      <c r="A1672" s="148" t="s">
        <v>463</v>
      </c>
      <c r="B1672" s="149">
        <v>1007095</v>
      </c>
      <c r="C1672" s="148" t="s">
        <v>1814</v>
      </c>
      <c r="D1672" s="150">
        <v>192.17</v>
      </c>
      <c r="E1672" s="151" t="s">
        <v>9</v>
      </c>
      <c r="F1672" s="152">
        <v>1</v>
      </c>
      <c r="G1672" s="149">
        <v>5</v>
      </c>
    </row>
    <row r="1673" spans="1:7" ht="15.75" x14ac:dyDescent="0.3">
      <c r="A1673" s="148" t="s">
        <v>463</v>
      </c>
      <c r="B1673" s="149">
        <v>1004064</v>
      </c>
      <c r="C1673" s="148" t="s">
        <v>1815</v>
      </c>
      <c r="D1673" s="150">
        <v>400.37</v>
      </c>
      <c r="E1673" s="151" t="s">
        <v>68</v>
      </c>
      <c r="F1673" s="152">
        <v>1</v>
      </c>
      <c r="G1673" s="149"/>
    </row>
    <row r="1674" spans="1:7" ht="15.75" x14ac:dyDescent="0.3">
      <c r="A1674" s="148" t="s">
        <v>463</v>
      </c>
      <c r="B1674" s="149">
        <v>1006250</v>
      </c>
      <c r="C1674" s="148" t="s">
        <v>1816</v>
      </c>
      <c r="D1674" s="150">
        <v>85.08</v>
      </c>
      <c r="E1674" s="151" t="s">
        <v>9</v>
      </c>
      <c r="F1674" s="152">
        <v>1</v>
      </c>
      <c r="G1674" s="149"/>
    </row>
    <row r="1675" spans="1:7" ht="15.75" x14ac:dyDescent="0.3">
      <c r="A1675" s="148" t="s">
        <v>463</v>
      </c>
      <c r="B1675" s="149">
        <v>1004059</v>
      </c>
      <c r="C1675" s="148" t="s">
        <v>1817</v>
      </c>
      <c r="D1675" s="150">
        <v>85.08</v>
      </c>
      <c r="E1675" s="151" t="s">
        <v>9</v>
      </c>
      <c r="F1675" s="152">
        <v>1</v>
      </c>
      <c r="G1675" s="149"/>
    </row>
    <row r="1676" spans="1:7" ht="15.75" x14ac:dyDescent="0.3">
      <c r="A1676" s="148" t="s">
        <v>463</v>
      </c>
      <c r="B1676" s="149">
        <v>1119376</v>
      </c>
      <c r="C1676" s="148" t="s">
        <v>1818</v>
      </c>
      <c r="D1676" s="150">
        <v>714.67</v>
      </c>
      <c r="E1676" s="151" t="s">
        <v>68</v>
      </c>
      <c r="F1676" s="152">
        <v>1</v>
      </c>
      <c r="G1676" s="149"/>
    </row>
    <row r="1677" spans="1:7" ht="15.75" x14ac:dyDescent="0.3">
      <c r="A1677" s="148" t="s">
        <v>463</v>
      </c>
      <c r="B1677" s="149">
        <v>1119379</v>
      </c>
      <c r="C1677" s="148" t="s">
        <v>1819</v>
      </c>
      <c r="D1677" s="150">
        <v>714.67</v>
      </c>
      <c r="E1677" s="151" t="s">
        <v>68</v>
      </c>
      <c r="F1677" s="152">
        <v>1</v>
      </c>
      <c r="G1677" s="149"/>
    </row>
    <row r="1678" spans="1:7" ht="15.75" x14ac:dyDescent="0.3">
      <c r="A1678" s="148" t="s">
        <v>463</v>
      </c>
      <c r="B1678" s="149">
        <v>1121157</v>
      </c>
      <c r="C1678" s="148" t="s">
        <v>1820</v>
      </c>
      <c r="D1678" s="150">
        <v>412.04</v>
      </c>
      <c r="E1678" s="151" t="s">
        <v>9</v>
      </c>
      <c r="F1678" s="152">
        <v>1</v>
      </c>
      <c r="G1678" s="149"/>
    </row>
    <row r="1679" spans="1:7" ht="15.75" x14ac:dyDescent="0.3">
      <c r="A1679" s="148" t="s">
        <v>463</v>
      </c>
      <c r="B1679" s="149">
        <v>1119380</v>
      </c>
      <c r="C1679" s="148" t="s">
        <v>1821</v>
      </c>
      <c r="D1679" s="150">
        <v>80.069999999999993</v>
      </c>
      <c r="E1679" s="151" t="s">
        <v>9</v>
      </c>
      <c r="F1679" s="152">
        <v>1</v>
      </c>
      <c r="G1679" s="149"/>
    </row>
    <row r="1680" spans="1:7" ht="15.75" x14ac:dyDescent="0.3">
      <c r="A1680" s="148" t="s">
        <v>463</v>
      </c>
      <c r="B1680" s="149">
        <v>1057184</v>
      </c>
      <c r="C1680" s="148" t="s">
        <v>1822</v>
      </c>
      <c r="D1680" s="150">
        <v>102.09</v>
      </c>
      <c r="E1680" s="151" t="s">
        <v>9</v>
      </c>
      <c r="F1680" s="152">
        <v>1</v>
      </c>
      <c r="G1680" s="149"/>
    </row>
    <row r="1681" spans="1:7" ht="15.75" x14ac:dyDescent="0.3">
      <c r="A1681" s="148" t="s">
        <v>463</v>
      </c>
      <c r="B1681" s="149">
        <v>1057172</v>
      </c>
      <c r="C1681" s="148" t="s">
        <v>1823</v>
      </c>
      <c r="D1681" s="150">
        <v>85.08</v>
      </c>
      <c r="E1681" s="151" t="s">
        <v>9</v>
      </c>
      <c r="F1681" s="152">
        <v>1</v>
      </c>
      <c r="G1681" s="149"/>
    </row>
    <row r="1682" spans="1:7" ht="15.75" x14ac:dyDescent="0.3">
      <c r="A1682" s="148" t="s">
        <v>463</v>
      </c>
      <c r="B1682" s="149">
        <v>1057185</v>
      </c>
      <c r="C1682" s="148" t="s">
        <v>1824</v>
      </c>
      <c r="D1682" s="150">
        <v>85.08</v>
      </c>
      <c r="E1682" s="151" t="s">
        <v>9</v>
      </c>
      <c r="F1682" s="152">
        <v>1</v>
      </c>
      <c r="G1682" s="149"/>
    </row>
    <row r="1683" spans="1:7" ht="15.75" x14ac:dyDescent="0.3">
      <c r="A1683" s="148" t="s">
        <v>463</v>
      </c>
      <c r="B1683" s="149">
        <v>1057173</v>
      </c>
      <c r="C1683" s="148" t="s">
        <v>1825</v>
      </c>
      <c r="D1683" s="150">
        <v>85.08</v>
      </c>
      <c r="E1683" s="151" t="s">
        <v>9</v>
      </c>
      <c r="F1683" s="152">
        <v>1</v>
      </c>
      <c r="G1683" s="149"/>
    </row>
    <row r="1684" spans="1:7" ht="15.75" x14ac:dyDescent="0.3">
      <c r="A1684" s="148" t="s">
        <v>463</v>
      </c>
      <c r="B1684" s="149">
        <v>1057175</v>
      </c>
      <c r="C1684" s="148" t="s">
        <v>1826</v>
      </c>
      <c r="D1684" s="150">
        <v>85.08</v>
      </c>
      <c r="E1684" s="151" t="s">
        <v>9</v>
      </c>
      <c r="F1684" s="152">
        <v>1</v>
      </c>
      <c r="G1684" s="149"/>
    </row>
    <row r="1685" spans="1:7" ht="15.75" x14ac:dyDescent="0.3">
      <c r="A1685" s="148" t="s">
        <v>463</v>
      </c>
      <c r="B1685" s="149">
        <v>1057176</v>
      </c>
      <c r="C1685" s="148" t="s">
        <v>1827</v>
      </c>
      <c r="D1685" s="150">
        <v>85.08</v>
      </c>
      <c r="E1685" s="151" t="s">
        <v>9</v>
      </c>
      <c r="F1685" s="152">
        <v>1</v>
      </c>
      <c r="G1685" s="149"/>
    </row>
    <row r="1686" spans="1:7" ht="15.75" x14ac:dyDescent="0.3">
      <c r="A1686" s="148" t="s">
        <v>463</v>
      </c>
      <c r="B1686" s="149">
        <v>1057177</v>
      </c>
      <c r="C1686" s="148" t="s">
        <v>1828</v>
      </c>
      <c r="D1686" s="150">
        <v>85.08</v>
      </c>
      <c r="E1686" s="151" t="s">
        <v>9</v>
      </c>
      <c r="F1686" s="152">
        <v>1</v>
      </c>
      <c r="G1686" s="149"/>
    </row>
    <row r="1687" spans="1:7" ht="15.75" x14ac:dyDescent="0.3">
      <c r="A1687" s="148" t="s">
        <v>463</v>
      </c>
      <c r="B1687" s="149">
        <v>1119381</v>
      </c>
      <c r="C1687" s="148" t="s">
        <v>1829</v>
      </c>
      <c r="D1687" s="150">
        <v>85.08</v>
      </c>
      <c r="E1687" s="151" t="s">
        <v>9</v>
      </c>
      <c r="F1687" s="152">
        <v>1</v>
      </c>
      <c r="G1687" s="149"/>
    </row>
    <row r="1688" spans="1:7" ht="15.75" x14ac:dyDescent="0.3">
      <c r="A1688" s="148" t="s">
        <v>463</v>
      </c>
      <c r="B1688" s="149">
        <v>1119382</v>
      </c>
      <c r="C1688" s="148" t="s">
        <v>1830</v>
      </c>
      <c r="D1688" s="150">
        <v>85.08</v>
      </c>
      <c r="E1688" s="151" t="s">
        <v>9</v>
      </c>
      <c r="F1688" s="152">
        <v>1</v>
      </c>
      <c r="G1688" s="149"/>
    </row>
    <row r="1689" spans="1:7" ht="15.75" x14ac:dyDescent="0.3">
      <c r="A1689" s="148" t="s">
        <v>463</v>
      </c>
      <c r="B1689" s="149">
        <v>1119383</v>
      </c>
      <c r="C1689" s="148" t="s">
        <v>1831</v>
      </c>
      <c r="D1689" s="150">
        <v>85.08</v>
      </c>
      <c r="E1689" s="151" t="s">
        <v>9</v>
      </c>
      <c r="F1689" s="152">
        <v>1</v>
      </c>
      <c r="G1689" s="149"/>
    </row>
    <row r="1690" spans="1:7" ht="15.75" x14ac:dyDescent="0.3">
      <c r="A1690" s="148" t="s">
        <v>463</v>
      </c>
      <c r="B1690" s="149">
        <v>1119384</v>
      </c>
      <c r="C1690" s="148" t="s">
        <v>1832</v>
      </c>
      <c r="D1690" s="150">
        <v>85.08</v>
      </c>
      <c r="E1690" s="151" t="s">
        <v>9</v>
      </c>
      <c r="F1690" s="152">
        <v>1</v>
      </c>
      <c r="G1690" s="149"/>
    </row>
    <row r="1691" spans="1:7" ht="15.75" x14ac:dyDescent="0.3">
      <c r="A1691" s="148" t="s">
        <v>463</v>
      </c>
      <c r="B1691" s="149">
        <v>1119385</v>
      </c>
      <c r="C1691" s="148" t="s">
        <v>1833</v>
      </c>
      <c r="D1691" s="150">
        <v>85.08</v>
      </c>
      <c r="E1691" s="151" t="s">
        <v>9</v>
      </c>
      <c r="F1691" s="152">
        <v>1</v>
      </c>
      <c r="G1691" s="149"/>
    </row>
    <row r="1692" spans="1:7" ht="15.75" x14ac:dyDescent="0.3">
      <c r="A1692" s="148" t="s">
        <v>463</v>
      </c>
      <c r="B1692" s="149">
        <v>1119386</v>
      </c>
      <c r="C1692" s="148" t="s">
        <v>1834</v>
      </c>
      <c r="D1692" s="150">
        <v>85.08</v>
      </c>
      <c r="E1692" s="151" t="s">
        <v>9</v>
      </c>
      <c r="F1692" s="152">
        <v>1</v>
      </c>
      <c r="G1692" s="149"/>
    </row>
    <row r="1693" spans="1:7" ht="15.75" x14ac:dyDescent="0.3">
      <c r="A1693" s="148" t="s">
        <v>463</v>
      </c>
      <c r="B1693" s="149">
        <v>1132663</v>
      </c>
      <c r="C1693" s="148" t="s">
        <v>1835</v>
      </c>
      <c r="D1693" s="150">
        <v>956.72</v>
      </c>
      <c r="E1693" s="151" t="s">
        <v>68</v>
      </c>
      <c r="F1693" s="152">
        <v>1</v>
      </c>
      <c r="G1693" s="149"/>
    </row>
    <row r="1694" spans="1:7" ht="15.75" x14ac:dyDescent="0.3">
      <c r="A1694" s="148" t="s">
        <v>463</v>
      </c>
      <c r="B1694" s="149">
        <v>1132664</v>
      </c>
      <c r="C1694" s="148" t="s">
        <v>1836</v>
      </c>
      <c r="D1694" s="150">
        <v>956.72</v>
      </c>
      <c r="E1694" s="151" t="s">
        <v>68</v>
      </c>
      <c r="F1694" s="152">
        <v>1</v>
      </c>
      <c r="G1694" s="149"/>
    </row>
    <row r="1695" spans="1:7" ht="15.75" x14ac:dyDescent="0.3">
      <c r="A1695" s="148" t="s">
        <v>463</v>
      </c>
      <c r="B1695" s="149">
        <v>1063908</v>
      </c>
      <c r="C1695" s="148" t="s">
        <v>1837</v>
      </c>
      <c r="D1695" s="150">
        <v>1242.3499999999999</v>
      </c>
      <c r="E1695" s="151" t="s">
        <v>68</v>
      </c>
      <c r="F1695" s="152">
        <v>1</v>
      </c>
      <c r="G1695" s="149"/>
    </row>
    <row r="1696" spans="1:7" ht="15.75" x14ac:dyDescent="0.3">
      <c r="A1696" s="148" t="s">
        <v>463</v>
      </c>
      <c r="B1696" s="149">
        <v>1063909</v>
      </c>
      <c r="C1696" s="148" t="s">
        <v>1838</v>
      </c>
      <c r="D1696" s="150">
        <v>1242.3499999999999</v>
      </c>
      <c r="E1696" s="151" t="s">
        <v>68</v>
      </c>
      <c r="F1696" s="152">
        <v>1</v>
      </c>
      <c r="G1696" s="149"/>
    </row>
    <row r="1697" spans="1:7" ht="15.75" x14ac:dyDescent="0.3">
      <c r="A1697" s="148" t="s">
        <v>463</v>
      </c>
      <c r="B1697" s="149">
        <v>1057182</v>
      </c>
      <c r="C1697" s="148" t="s">
        <v>1839</v>
      </c>
      <c r="D1697" s="150">
        <v>85.08</v>
      </c>
      <c r="E1697" s="151" t="s">
        <v>9</v>
      </c>
      <c r="F1697" s="152">
        <v>1</v>
      </c>
      <c r="G1697" s="149"/>
    </row>
    <row r="1698" spans="1:7" ht="15.75" x14ac:dyDescent="0.3">
      <c r="A1698" s="148" t="s">
        <v>463</v>
      </c>
      <c r="B1698" s="149">
        <v>1057183</v>
      </c>
      <c r="C1698" s="148" t="s">
        <v>1840</v>
      </c>
      <c r="D1698" s="150">
        <v>85.08</v>
      </c>
      <c r="E1698" s="151" t="s">
        <v>9</v>
      </c>
      <c r="F1698" s="152">
        <v>1</v>
      </c>
      <c r="G1698" s="149"/>
    </row>
    <row r="1699" spans="1:7" ht="15.75" x14ac:dyDescent="0.3">
      <c r="A1699" s="148" t="s">
        <v>463</v>
      </c>
      <c r="B1699" s="149">
        <v>1085099</v>
      </c>
      <c r="C1699" s="148" t="s">
        <v>1841</v>
      </c>
      <c r="D1699" s="150">
        <v>2743.05</v>
      </c>
      <c r="E1699" s="151" t="s">
        <v>9</v>
      </c>
      <c r="F1699" s="152">
        <v>1</v>
      </c>
      <c r="G1699" s="149"/>
    </row>
    <row r="1700" spans="1:7" ht="15.75" x14ac:dyDescent="0.3">
      <c r="A1700" s="148" t="s">
        <v>463</v>
      </c>
      <c r="B1700" s="149">
        <v>1085095</v>
      </c>
      <c r="C1700" s="148" t="s">
        <v>1842</v>
      </c>
      <c r="D1700" s="150">
        <v>492.11</v>
      </c>
      <c r="E1700" s="151" t="s">
        <v>9</v>
      </c>
      <c r="F1700" s="152">
        <v>1</v>
      </c>
      <c r="G1700" s="149"/>
    </row>
    <row r="1701" spans="1:7" ht="15.75" x14ac:dyDescent="0.3">
      <c r="A1701" s="148" t="s">
        <v>463</v>
      </c>
      <c r="B1701" s="149">
        <v>1085096</v>
      </c>
      <c r="C1701" s="148" t="s">
        <v>1843</v>
      </c>
      <c r="D1701" s="150">
        <v>492.11</v>
      </c>
      <c r="E1701" s="151" t="s">
        <v>9</v>
      </c>
      <c r="F1701" s="152">
        <v>1</v>
      </c>
      <c r="G1701" s="149"/>
    </row>
    <row r="1702" spans="1:7" ht="15.75" x14ac:dyDescent="0.3">
      <c r="A1702" s="148" t="s">
        <v>463</v>
      </c>
      <c r="B1702" s="149">
        <v>1085097</v>
      </c>
      <c r="C1702" s="148" t="s">
        <v>1844</v>
      </c>
      <c r="D1702" s="150">
        <v>492.11</v>
      </c>
      <c r="E1702" s="151" t="s">
        <v>9</v>
      </c>
      <c r="F1702" s="152">
        <v>1</v>
      </c>
      <c r="G1702" s="149"/>
    </row>
    <row r="1703" spans="1:7" ht="15.75" x14ac:dyDescent="0.3">
      <c r="A1703" s="148" t="s">
        <v>463</v>
      </c>
      <c r="B1703" s="149">
        <v>1085098</v>
      </c>
      <c r="C1703" s="148" t="s">
        <v>1845</v>
      </c>
      <c r="D1703" s="150">
        <v>626.32000000000005</v>
      </c>
      <c r="E1703" s="151" t="s">
        <v>9</v>
      </c>
      <c r="F1703" s="152">
        <v>1</v>
      </c>
      <c r="G1703" s="149"/>
    </row>
    <row r="1704" spans="1:7" ht="15.75" x14ac:dyDescent="0.3">
      <c r="A1704" s="148" t="s">
        <v>463</v>
      </c>
      <c r="B1704" s="149">
        <v>1008334</v>
      </c>
      <c r="C1704" s="148" t="s">
        <v>1846</v>
      </c>
      <c r="D1704" s="150">
        <v>3.96</v>
      </c>
      <c r="E1704" s="151" t="s">
        <v>9</v>
      </c>
      <c r="F1704" s="152">
        <v>20</v>
      </c>
      <c r="G1704" s="149"/>
    </row>
    <row r="1705" spans="1:7" ht="15.75" x14ac:dyDescent="0.3">
      <c r="A1705" s="148" t="s">
        <v>463</v>
      </c>
      <c r="B1705" s="149">
        <v>1005017</v>
      </c>
      <c r="C1705" s="148" t="s">
        <v>1847</v>
      </c>
      <c r="D1705" s="150">
        <v>30.63</v>
      </c>
      <c r="E1705" s="151" t="s">
        <v>9</v>
      </c>
      <c r="F1705" s="152">
        <v>1</v>
      </c>
      <c r="G1705" s="149"/>
    </row>
    <row r="1706" spans="1:7" ht="15.75" x14ac:dyDescent="0.3">
      <c r="A1706" s="148" t="s">
        <v>463</v>
      </c>
      <c r="B1706" s="149">
        <v>1006290</v>
      </c>
      <c r="C1706" s="148" t="s">
        <v>1848</v>
      </c>
      <c r="D1706" s="150">
        <v>240.22</v>
      </c>
      <c r="E1706" s="151" t="s">
        <v>9</v>
      </c>
      <c r="F1706" s="152">
        <v>1</v>
      </c>
      <c r="G1706" s="152">
        <v>20</v>
      </c>
    </row>
    <row r="1707" spans="1:7" ht="15.75" x14ac:dyDescent="0.3">
      <c r="A1707" s="148" t="s">
        <v>463</v>
      </c>
      <c r="B1707" s="149">
        <v>1119039</v>
      </c>
      <c r="C1707" s="148" t="s">
        <v>1849</v>
      </c>
      <c r="D1707" s="150">
        <v>97.66</v>
      </c>
      <c r="E1707" s="151" t="s">
        <v>9</v>
      </c>
      <c r="F1707" s="152">
        <v>1</v>
      </c>
      <c r="G1707" s="152">
        <v>50</v>
      </c>
    </row>
    <row r="1708" spans="1:7" ht="15.75" x14ac:dyDescent="0.3">
      <c r="A1708" s="148" t="s">
        <v>463</v>
      </c>
      <c r="B1708" s="149">
        <v>1135546</v>
      </c>
      <c r="C1708" s="148" t="s">
        <v>1850</v>
      </c>
      <c r="D1708" s="150">
        <v>177.89</v>
      </c>
      <c r="E1708" s="151" t="s">
        <v>68</v>
      </c>
      <c r="F1708" s="152">
        <v>1</v>
      </c>
      <c r="G1708" s="152">
        <v>10</v>
      </c>
    </row>
    <row r="1709" spans="1:7" ht="15.75" x14ac:dyDescent="0.3">
      <c r="A1709" s="148" t="s">
        <v>463</v>
      </c>
      <c r="B1709" s="149">
        <v>1136264</v>
      </c>
      <c r="C1709" s="148" t="s">
        <v>1851</v>
      </c>
      <c r="D1709" s="150">
        <v>114.9</v>
      </c>
      <c r="E1709" s="151" t="s">
        <v>68</v>
      </c>
      <c r="F1709" s="152">
        <v>1</v>
      </c>
      <c r="G1709" s="152">
        <v>24</v>
      </c>
    </row>
    <row r="1710" spans="1:7" ht="15.75" x14ac:dyDescent="0.3">
      <c r="A1710" s="148" t="s">
        <v>463</v>
      </c>
      <c r="B1710" s="149">
        <v>1006243</v>
      </c>
      <c r="C1710" s="148" t="s">
        <v>1852</v>
      </c>
      <c r="D1710" s="150">
        <v>23.32</v>
      </c>
      <c r="E1710" s="151" t="s">
        <v>9</v>
      </c>
      <c r="F1710" s="152">
        <v>1</v>
      </c>
      <c r="G1710" s="152">
        <v>50</v>
      </c>
    </row>
    <row r="1711" spans="1:7" ht="15.75" x14ac:dyDescent="0.3">
      <c r="A1711" s="148" t="s">
        <v>463</v>
      </c>
      <c r="B1711" s="149">
        <v>1009216</v>
      </c>
      <c r="C1711" s="148" t="s">
        <v>1853</v>
      </c>
      <c r="D1711" s="150">
        <v>6.01</v>
      </c>
      <c r="E1711" s="151" t="s">
        <v>9</v>
      </c>
      <c r="F1711" s="152">
        <v>1</v>
      </c>
      <c r="G1711" s="152">
        <v>10</v>
      </c>
    </row>
  </sheetData>
  <autoFilter ref="A10:G1711" xr:uid="{E989D0CB-CD4F-46AE-A6EA-60D12CC34118}"/>
  <conditionalFormatting sqref="E10">
    <cfRule type="duplicateValues" dxfId="259" priority="7"/>
  </conditionalFormatting>
  <conditionalFormatting sqref="B10">
    <cfRule type="duplicateValues" dxfId="258" priority="6"/>
  </conditionalFormatting>
  <conditionalFormatting sqref="B11:B1711">
    <cfRule type="duplicateValues" dxfId="257" priority="8"/>
  </conditionalFormatting>
  <conditionalFormatting sqref="B11:B1711">
    <cfRule type="duplicateValues" dxfId="256" priority="9"/>
    <cfRule type="duplicateValues" dxfId="255" priority="10"/>
  </conditionalFormatting>
  <conditionalFormatting sqref="B1713:B1048576 B10:B1711">
    <cfRule type="duplicateValues" dxfId="254" priority="11"/>
  </conditionalFormatting>
  <conditionalFormatting sqref="B7:B9">
    <cfRule type="duplicateValues" dxfId="253" priority="5"/>
  </conditionalFormatting>
  <conditionalFormatting sqref="B1:B9">
    <cfRule type="duplicateValues" dxfId="252" priority="4"/>
  </conditionalFormatting>
  <conditionalFormatting sqref="B1:B9">
    <cfRule type="duplicateValues" dxfId="251" priority="3"/>
  </conditionalFormatting>
  <conditionalFormatting sqref="B1:B9">
    <cfRule type="duplicateValues" dxfId="250" priority="2"/>
  </conditionalFormatting>
  <conditionalFormatting sqref="B1:B9">
    <cfRule type="duplicateValues" dxfId="249" priority="1"/>
  </conditionalFormatting>
  <conditionalFormatting sqref="F10:G10">
    <cfRule type="duplicateValues" dxfId="248" priority="12"/>
  </conditionalFormatting>
  <hyperlinks>
    <hyperlink ref="A3" r:id="rId1" xr:uid="{109A9671-C2B3-4467-868E-7775C36869EA}"/>
  </hyperlinks>
  <pageMargins left="0.70866141732283472" right="0.70866141732283472" top="0.74803149606299213" bottom="0.74803149606299213" header="0.31496062992125984" footer="0.31496062992125984"/>
  <pageSetup paperSize="9" scale="55" fitToHeight="50" orientation="portrait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Аркуш2">
    <tabColor rgb="FF0070C0"/>
    <pageSetUpPr fitToPage="1"/>
  </sheetPr>
  <dimension ref="A1:J42"/>
  <sheetViews>
    <sheetView zoomScale="85" zoomScaleNormal="85" workbookViewId="0">
      <pane ySplit="1" topLeftCell="A16" activePane="bottomLeft" state="frozen"/>
      <selection activeCell="N20" sqref="N20"/>
      <selection pane="bottomLeft" activeCell="D22" sqref="D22"/>
    </sheetView>
  </sheetViews>
  <sheetFormatPr defaultColWidth="9.140625" defaultRowHeight="15" x14ac:dyDescent="0.25"/>
  <cols>
    <col min="1" max="1" width="14.42578125" style="16" customWidth="1"/>
    <col min="2" max="2" width="55.28515625" style="16" customWidth="1"/>
    <col min="3" max="3" width="13" style="14" customWidth="1"/>
    <col min="4" max="4" width="70.5703125" style="14" customWidth="1"/>
    <col min="5" max="5" width="4.7109375" style="16" bestFit="1" customWidth="1"/>
    <col min="6" max="249" width="9.140625" style="16"/>
    <col min="250" max="250" width="6.85546875" style="16" customWidth="1"/>
    <col min="251" max="251" width="11.28515625" style="16" customWidth="1"/>
    <col min="252" max="252" width="43" style="16" customWidth="1"/>
    <col min="253" max="253" width="38.5703125" style="16" customWidth="1"/>
    <col min="254" max="254" width="13" style="16" customWidth="1"/>
    <col min="255" max="255" width="13.5703125" style="16" customWidth="1"/>
    <col min="256" max="256" width="8" style="16" customWidth="1"/>
    <col min="257" max="257" width="12.140625" style="16" customWidth="1"/>
    <col min="258" max="505" width="9.140625" style="16"/>
    <col min="506" max="506" width="6.85546875" style="16" customWidth="1"/>
    <col min="507" max="507" width="11.28515625" style="16" customWidth="1"/>
    <col min="508" max="508" width="43" style="16" customWidth="1"/>
    <col min="509" max="509" width="38.5703125" style="16" customWidth="1"/>
    <col min="510" max="510" width="13" style="16" customWidth="1"/>
    <col min="511" max="511" width="13.5703125" style="16" customWidth="1"/>
    <col min="512" max="512" width="8" style="16" customWidth="1"/>
    <col min="513" max="513" width="12.140625" style="16" customWidth="1"/>
    <col min="514" max="761" width="9.140625" style="16"/>
    <col min="762" max="762" width="6.85546875" style="16" customWidth="1"/>
    <col min="763" max="763" width="11.28515625" style="16" customWidth="1"/>
    <col min="764" max="764" width="43" style="16" customWidth="1"/>
    <col min="765" max="765" width="38.5703125" style="16" customWidth="1"/>
    <col min="766" max="766" width="13" style="16" customWidth="1"/>
    <col min="767" max="767" width="13.5703125" style="16" customWidth="1"/>
    <col min="768" max="768" width="8" style="16" customWidth="1"/>
    <col min="769" max="769" width="12.140625" style="16" customWidth="1"/>
    <col min="770" max="1017" width="9.140625" style="16"/>
    <col min="1018" max="1018" width="6.85546875" style="16" customWidth="1"/>
    <col min="1019" max="1019" width="11.28515625" style="16" customWidth="1"/>
    <col min="1020" max="1020" width="43" style="16" customWidth="1"/>
    <col min="1021" max="1021" width="38.5703125" style="16" customWidth="1"/>
    <col min="1022" max="1022" width="13" style="16" customWidth="1"/>
    <col min="1023" max="1023" width="13.5703125" style="16" customWidth="1"/>
    <col min="1024" max="1024" width="8" style="16" customWidth="1"/>
    <col min="1025" max="1025" width="12.140625" style="16" customWidth="1"/>
    <col min="1026" max="1273" width="9.140625" style="16"/>
    <col min="1274" max="1274" width="6.85546875" style="16" customWidth="1"/>
    <col min="1275" max="1275" width="11.28515625" style="16" customWidth="1"/>
    <col min="1276" max="1276" width="43" style="16" customWidth="1"/>
    <col min="1277" max="1277" width="38.5703125" style="16" customWidth="1"/>
    <col min="1278" max="1278" width="13" style="16" customWidth="1"/>
    <col min="1279" max="1279" width="13.5703125" style="16" customWidth="1"/>
    <col min="1280" max="1280" width="8" style="16" customWidth="1"/>
    <col min="1281" max="1281" width="12.140625" style="16" customWidth="1"/>
    <col min="1282" max="1529" width="9.140625" style="16"/>
    <col min="1530" max="1530" width="6.85546875" style="16" customWidth="1"/>
    <col min="1531" max="1531" width="11.28515625" style="16" customWidth="1"/>
    <col min="1532" max="1532" width="43" style="16" customWidth="1"/>
    <col min="1533" max="1533" width="38.5703125" style="16" customWidth="1"/>
    <col min="1534" max="1534" width="13" style="16" customWidth="1"/>
    <col min="1535" max="1535" width="13.5703125" style="16" customWidth="1"/>
    <col min="1536" max="1536" width="8" style="16" customWidth="1"/>
    <col min="1537" max="1537" width="12.140625" style="16" customWidth="1"/>
    <col min="1538" max="1785" width="9.140625" style="16"/>
    <col min="1786" max="1786" width="6.85546875" style="16" customWidth="1"/>
    <col min="1787" max="1787" width="11.28515625" style="16" customWidth="1"/>
    <col min="1788" max="1788" width="43" style="16" customWidth="1"/>
    <col min="1789" max="1789" width="38.5703125" style="16" customWidth="1"/>
    <col min="1790" max="1790" width="13" style="16" customWidth="1"/>
    <col min="1791" max="1791" width="13.5703125" style="16" customWidth="1"/>
    <col min="1792" max="1792" width="8" style="16" customWidth="1"/>
    <col min="1793" max="1793" width="12.140625" style="16" customWidth="1"/>
    <col min="1794" max="2041" width="9.140625" style="16"/>
    <col min="2042" max="2042" width="6.85546875" style="16" customWidth="1"/>
    <col min="2043" max="2043" width="11.28515625" style="16" customWidth="1"/>
    <col min="2044" max="2044" width="43" style="16" customWidth="1"/>
    <col min="2045" max="2045" width="38.5703125" style="16" customWidth="1"/>
    <col min="2046" max="2046" width="13" style="16" customWidth="1"/>
    <col min="2047" max="2047" width="13.5703125" style="16" customWidth="1"/>
    <col min="2048" max="2048" width="8" style="16" customWidth="1"/>
    <col min="2049" max="2049" width="12.140625" style="16" customWidth="1"/>
    <col min="2050" max="2297" width="9.140625" style="16"/>
    <col min="2298" max="2298" width="6.85546875" style="16" customWidth="1"/>
    <col min="2299" max="2299" width="11.28515625" style="16" customWidth="1"/>
    <col min="2300" max="2300" width="43" style="16" customWidth="1"/>
    <col min="2301" max="2301" width="38.5703125" style="16" customWidth="1"/>
    <col min="2302" max="2302" width="13" style="16" customWidth="1"/>
    <col min="2303" max="2303" width="13.5703125" style="16" customWidth="1"/>
    <col min="2304" max="2304" width="8" style="16" customWidth="1"/>
    <col min="2305" max="2305" width="12.140625" style="16" customWidth="1"/>
    <col min="2306" max="2553" width="9.140625" style="16"/>
    <col min="2554" max="2554" width="6.85546875" style="16" customWidth="1"/>
    <col min="2555" max="2555" width="11.28515625" style="16" customWidth="1"/>
    <col min="2556" max="2556" width="43" style="16" customWidth="1"/>
    <col min="2557" max="2557" width="38.5703125" style="16" customWidth="1"/>
    <col min="2558" max="2558" width="13" style="16" customWidth="1"/>
    <col min="2559" max="2559" width="13.5703125" style="16" customWidth="1"/>
    <col min="2560" max="2560" width="8" style="16" customWidth="1"/>
    <col min="2561" max="2561" width="12.140625" style="16" customWidth="1"/>
    <col min="2562" max="2809" width="9.140625" style="16"/>
    <col min="2810" max="2810" width="6.85546875" style="16" customWidth="1"/>
    <col min="2811" max="2811" width="11.28515625" style="16" customWidth="1"/>
    <col min="2812" max="2812" width="43" style="16" customWidth="1"/>
    <col min="2813" max="2813" width="38.5703125" style="16" customWidth="1"/>
    <col min="2814" max="2814" width="13" style="16" customWidth="1"/>
    <col min="2815" max="2815" width="13.5703125" style="16" customWidth="1"/>
    <col min="2816" max="2816" width="8" style="16" customWidth="1"/>
    <col min="2817" max="2817" width="12.140625" style="16" customWidth="1"/>
    <col min="2818" max="3065" width="9.140625" style="16"/>
    <col min="3066" max="3066" width="6.85546875" style="16" customWidth="1"/>
    <col min="3067" max="3067" width="11.28515625" style="16" customWidth="1"/>
    <col min="3068" max="3068" width="43" style="16" customWidth="1"/>
    <col min="3069" max="3069" width="38.5703125" style="16" customWidth="1"/>
    <col min="3070" max="3070" width="13" style="16" customWidth="1"/>
    <col min="3071" max="3071" width="13.5703125" style="16" customWidth="1"/>
    <col min="3072" max="3072" width="8" style="16" customWidth="1"/>
    <col min="3073" max="3073" width="12.140625" style="16" customWidth="1"/>
    <col min="3074" max="3321" width="9.140625" style="16"/>
    <col min="3322" max="3322" width="6.85546875" style="16" customWidth="1"/>
    <col min="3323" max="3323" width="11.28515625" style="16" customWidth="1"/>
    <col min="3324" max="3324" width="43" style="16" customWidth="1"/>
    <col min="3325" max="3325" width="38.5703125" style="16" customWidth="1"/>
    <col min="3326" max="3326" width="13" style="16" customWidth="1"/>
    <col min="3327" max="3327" width="13.5703125" style="16" customWidth="1"/>
    <col min="3328" max="3328" width="8" style="16" customWidth="1"/>
    <col min="3329" max="3329" width="12.140625" style="16" customWidth="1"/>
    <col min="3330" max="3577" width="9.140625" style="16"/>
    <col min="3578" max="3578" width="6.85546875" style="16" customWidth="1"/>
    <col min="3579" max="3579" width="11.28515625" style="16" customWidth="1"/>
    <col min="3580" max="3580" width="43" style="16" customWidth="1"/>
    <col min="3581" max="3581" width="38.5703125" style="16" customWidth="1"/>
    <col min="3582" max="3582" width="13" style="16" customWidth="1"/>
    <col min="3583" max="3583" width="13.5703125" style="16" customWidth="1"/>
    <col min="3584" max="3584" width="8" style="16" customWidth="1"/>
    <col min="3585" max="3585" width="12.140625" style="16" customWidth="1"/>
    <col min="3586" max="3833" width="9.140625" style="16"/>
    <col min="3834" max="3834" width="6.85546875" style="16" customWidth="1"/>
    <col min="3835" max="3835" width="11.28515625" style="16" customWidth="1"/>
    <col min="3836" max="3836" width="43" style="16" customWidth="1"/>
    <col min="3837" max="3837" width="38.5703125" style="16" customWidth="1"/>
    <col min="3838" max="3838" width="13" style="16" customWidth="1"/>
    <col min="3839" max="3839" width="13.5703125" style="16" customWidth="1"/>
    <col min="3840" max="3840" width="8" style="16" customWidth="1"/>
    <col min="3841" max="3841" width="12.140625" style="16" customWidth="1"/>
    <col min="3842" max="4089" width="9.140625" style="16"/>
    <col min="4090" max="4090" width="6.85546875" style="16" customWidth="1"/>
    <col min="4091" max="4091" width="11.28515625" style="16" customWidth="1"/>
    <col min="4092" max="4092" width="43" style="16" customWidth="1"/>
    <col min="4093" max="4093" width="38.5703125" style="16" customWidth="1"/>
    <col min="4094" max="4094" width="13" style="16" customWidth="1"/>
    <col min="4095" max="4095" width="13.5703125" style="16" customWidth="1"/>
    <col min="4096" max="4096" width="8" style="16" customWidth="1"/>
    <col min="4097" max="4097" width="12.140625" style="16" customWidth="1"/>
    <col min="4098" max="4345" width="9.140625" style="16"/>
    <col min="4346" max="4346" width="6.85546875" style="16" customWidth="1"/>
    <col min="4347" max="4347" width="11.28515625" style="16" customWidth="1"/>
    <col min="4348" max="4348" width="43" style="16" customWidth="1"/>
    <col min="4349" max="4349" width="38.5703125" style="16" customWidth="1"/>
    <col min="4350" max="4350" width="13" style="16" customWidth="1"/>
    <col min="4351" max="4351" width="13.5703125" style="16" customWidth="1"/>
    <col min="4352" max="4352" width="8" style="16" customWidth="1"/>
    <col min="4353" max="4353" width="12.140625" style="16" customWidth="1"/>
    <col min="4354" max="4601" width="9.140625" style="16"/>
    <col min="4602" max="4602" width="6.85546875" style="16" customWidth="1"/>
    <col min="4603" max="4603" width="11.28515625" style="16" customWidth="1"/>
    <col min="4604" max="4604" width="43" style="16" customWidth="1"/>
    <col min="4605" max="4605" width="38.5703125" style="16" customWidth="1"/>
    <col min="4606" max="4606" width="13" style="16" customWidth="1"/>
    <col min="4607" max="4607" width="13.5703125" style="16" customWidth="1"/>
    <col min="4608" max="4608" width="8" style="16" customWidth="1"/>
    <col min="4609" max="4609" width="12.140625" style="16" customWidth="1"/>
    <col min="4610" max="4857" width="9.140625" style="16"/>
    <col min="4858" max="4858" width="6.85546875" style="16" customWidth="1"/>
    <col min="4859" max="4859" width="11.28515625" style="16" customWidth="1"/>
    <col min="4860" max="4860" width="43" style="16" customWidth="1"/>
    <col min="4861" max="4861" width="38.5703125" style="16" customWidth="1"/>
    <col min="4862" max="4862" width="13" style="16" customWidth="1"/>
    <col min="4863" max="4863" width="13.5703125" style="16" customWidth="1"/>
    <col min="4864" max="4864" width="8" style="16" customWidth="1"/>
    <col min="4865" max="4865" width="12.140625" style="16" customWidth="1"/>
    <col min="4866" max="5113" width="9.140625" style="16"/>
    <col min="5114" max="5114" width="6.85546875" style="16" customWidth="1"/>
    <col min="5115" max="5115" width="11.28515625" style="16" customWidth="1"/>
    <col min="5116" max="5116" width="43" style="16" customWidth="1"/>
    <col min="5117" max="5117" width="38.5703125" style="16" customWidth="1"/>
    <col min="5118" max="5118" width="13" style="16" customWidth="1"/>
    <col min="5119" max="5119" width="13.5703125" style="16" customWidth="1"/>
    <col min="5120" max="5120" width="8" style="16" customWidth="1"/>
    <col min="5121" max="5121" width="12.140625" style="16" customWidth="1"/>
    <col min="5122" max="5369" width="9.140625" style="16"/>
    <col min="5370" max="5370" width="6.85546875" style="16" customWidth="1"/>
    <col min="5371" max="5371" width="11.28515625" style="16" customWidth="1"/>
    <col min="5372" max="5372" width="43" style="16" customWidth="1"/>
    <col min="5373" max="5373" width="38.5703125" style="16" customWidth="1"/>
    <col min="5374" max="5374" width="13" style="16" customWidth="1"/>
    <col min="5375" max="5375" width="13.5703125" style="16" customWidth="1"/>
    <col min="5376" max="5376" width="8" style="16" customWidth="1"/>
    <col min="5377" max="5377" width="12.140625" style="16" customWidth="1"/>
    <col min="5378" max="5625" width="9.140625" style="16"/>
    <col min="5626" max="5626" width="6.85546875" style="16" customWidth="1"/>
    <col min="5627" max="5627" width="11.28515625" style="16" customWidth="1"/>
    <col min="5628" max="5628" width="43" style="16" customWidth="1"/>
    <col min="5629" max="5629" width="38.5703125" style="16" customWidth="1"/>
    <col min="5630" max="5630" width="13" style="16" customWidth="1"/>
    <col min="5631" max="5631" width="13.5703125" style="16" customWidth="1"/>
    <col min="5632" max="5632" width="8" style="16" customWidth="1"/>
    <col min="5633" max="5633" width="12.140625" style="16" customWidth="1"/>
    <col min="5634" max="5881" width="9.140625" style="16"/>
    <col min="5882" max="5882" width="6.85546875" style="16" customWidth="1"/>
    <col min="5883" max="5883" width="11.28515625" style="16" customWidth="1"/>
    <col min="5884" max="5884" width="43" style="16" customWidth="1"/>
    <col min="5885" max="5885" width="38.5703125" style="16" customWidth="1"/>
    <col min="5886" max="5886" width="13" style="16" customWidth="1"/>
    <col min="5887" max="5887" width="13.5703125" style="16" customWidth="1"/>
    <col min="5888" max="5888" width="8" style="16" customWidth="1"/>
    <col min="5889" max="5889" width="12.140625" style="16" customWidth="1"/>
    <col min="5890" max="6137" width="9.140625" style="16"/>
    <col min="6138" max="6138" width="6.85546875" style="16" customWidth="1"/>
    <col min="6139" max="6139" width="11.28515625" style="16" customWidth="1"/>
    <col min="6140" max="6140" width="43" style="16" customWidth="1"/>
    <col min="6141" max="6141" width="38.5703125" style="16" customWidth="1"/>
    <col min="6142" max="6142" width="13" style="16" customWidth="1"/>
    <col min="6143" max="6143" width="13.5703125" style="16" customWidth="1"/>
    <col min="6144" max="6144" width="8" style="16" customWidth="1"/>
    <col min="6145" max="6145" width="12.140625" style="16" customWidth="1"/>
    <col min="6146" max="6393" width="9.140625" style="16"/>
    <col min="6394" max="6394" width="6.85546875" style="16" customWidth="1"/>
    <col min="6395" max="6395" width="11.28515625" style="16" customWidth="1"/>
    <col min="6396" max="6396" width="43" style="16" customWidth="1"/>
    <col min="6397" max="6397" width="38.5703125" style="16" customWidth="1"/>
    <col min="6398" max="6398" width="13" style="16" customWidth="1"/>
    <col min="6399" max="6399" width="13.5703125" style="16" customWidth="1"/>
    <col min="6400" max="6400" width="8" style="16" customWidth="1"/>
    <col min="6401" max="6401" width="12.140625" style="16" customWidth="1"/>
    <col min="6402" max="6649" width="9.140625" style="16"/>
    <col min="6650" max="6650" width="6.85546875" style="16" customWidth="1"/>
    <col min="6651" max="6651" width="11.28515625" style="16" customWidth="1"/>
    <col min="6652" max="6652" width="43" style="16" customWidth="1"/>
    <col min="6653" max="6653" width="38.5703125" style="16" customWidth="1"/>
    <col min="6654" max="6654" width="13" style="16" customWidth="1"/>
    <col min="6655" max="6655" width="13.5703125" style="16" customWidth="1"/>
    <col min="6656" max="6656" width="8" style="16" customWidth="1"/>
    <col min="6657" max="6657" width="12.140625" style="16" customWidth="1"/>
    <col min="6658" max="6905" width="9.140625" style="16"/>
    <col min="6906" max="6906" width="6.85546875" style="16" customWidth="1"/>
    <col min="6907" max="6907" width="11.28515625" style="16" customWidth="1"/>
    <col min="6908" max="6908" width="43" style="16" customWidth="1"/>
    <col min="6909" max="6909" width="38.5703125" style="16" customWidth="1"/>
    <col min="6910" max="6910" width="13" style="16" customWidth="1"/>
    <col min="6911" max="6911" width="13.5703125" style="16" customWidth="1"/>
    <col min="6912" max="6912" width="8" style="16" customWidth="1"/>
    <col min="6913" max="6913" width="12.140625" style="16" customWidth="1"/>
    <col min="6914" max="7161" width="9.140625" style="16"/>
    <col min="7162" max="7162" width="6.85546875" style="16" customWidth="1"/>
    <col min="7163" max="7163" width="11.28515625" style="16" customWidth="1"/>
    <col min="7164" max="7164" width="43" style="16" customWidth="1"/>
    <col min="7165" max="7165" width="38.5703125" style="16" customWidth="1"/>
    <col min="7166" max="7166" width="13" style="16" customWidth="1"/>
    <col min="7167" max="7167" width="13.5703125" style="16" customWidth="1"/>
    <col min="7168" max="7168" width="8" style="16" customWidth="1"/>
    <col min="7169" max="7169" width="12.140625" style="16" customWidth="1"/>
    <col min="7170" max="7417" width="9.140625" style="16"/>
    <col min="7418" max="7418" width="6.85546875" style="16" customWidth="1"/>
    <col min="7419" max="7419" width="11.28515625" style="16" customWidth="1"/>
    <col min="7420" max="7420" width="43" style="16" customWidth="1"/>
    <col min="7421" max="7421" width="38.5703125" style="16" customWidth="1"/>
    <col min="7422" max="7422" width="13" style="16" customWidth="1"/>
    <col min="7423" max="7423" width="13.5703125" style="16" customWidth="1"/>
    <col min="7424" max="7424" width="8" style="16" customWidth="1"/>
    <col min="7425" max="7425" width="12.140625" style="16" customWidth="1"/>
    <col min="7426" max="7673" width="9.140625" style="16"/>
    <col min="7674" max="7674" width="6.85546875" style="16" customWidth="1"/>
    <col min="7675" max="7675" width="11.28515625" style="16" customWidth="1"/>
    <col min="7676" max="7676" width="43" style="16" customWidth="1"/>
    <col min="7677" max="7677" width="38.5703125" style="16" customWidth="1"/>
    <col min="7678" max="7678" width="13" style="16" customWidth="1"/>
    <col min="7679" max="7679" width="13.5703125" style="16" customWidth="1"/>
    <col min="7680" max="7680" width="8" style="16" customWidth="1"/>
    <col min="7681" max="7681" width="12.140625" style="16" customWidth="1"/>
    <col min="7682" max="7929" width="9.140625" style="16"/>
    <col min="7930" max="7930" width="6.85546875" style="16" customWidth="1"/>
    <col min="7931" max="7931" width="11.28515625" style="16" customWidth="1"/>
    <col min="7932" max="7932" width="43" style="16" customWidth="1"/>
    <col min="7933" max="7933" width="38.5703125" style="16" customWidth="1"/>
    <col min="7934" max="7934" width="13" style="16" customWidth="1"/>
    <col min="7935" max="7935" width="13.5703125" style="16" customWidth="1"/>
    <col min="7936" max="7936" width="8" style="16" customWidth="1"/>
    <col min="7937" max="7937" width="12.140625" style="16" customWidth="1"/>
    <col min="7938" max="8185" width="9.140625" style="16"/>
    <col min="8186" max="8186" width="6.85546875" style="16" customWidth="1"/>
    <col min="8187" max="8187" width="11.28515625" style="16" customWidth="1"/>
    <col min="8188" max="8188" width="43" style="16" customWidth="1"/>
    <col min="8189" max="8189" width="38.5703125" style="16" customWidth="1"/>
    <col min="8190" max="8190" width="13" style="16" customWidth="1"/>
    <col min="8191" max="8191" width="13.5703125" style="16" customWidth="1"/>
    <col min="8192" max="8192" width="8" style="16" customWidth="1"/>
    <col min="8193" max="8193" width="12.140625" style="16" customWidth="1"/>
    <col min="8194" max="8441" width="9.140625" style="16"/>
    <col min="8442" max="8442" width="6.85546875" style="16" customWidth="1"/>
    <col min="8443" max="8443" width="11.28515625" style="16" customWidth="1"/>
    <col min="8444" max="8444" width="43" style="16" customWidth="1"/>
    <col min="8445" max="8445" width="38.5703125" style="16" customWidth="1"/>
    <col min="8446" max="8446" width="13" style="16" customWidth="1"/>
    <col min="8447" max="8447" width="13.5703125" style="16" customWidth="1"/>
    <col min="8448" max="8448" width="8" style="16" customWidth="1"/>
    <col min="8449" max="8449" width="12.140625" style="16" customWidth="1"/>
    <col min="8450" max="8697" width="9.140625" style="16"/>
    <col min="8698" max="8698" width="6.85546875" style="16" customWidth="1"/>
    <col min="8699" max="8699" width="11.28515625" style="16" customWidth="1"/>
    <col min="8700" max="8700" width="43" style="16" customWidth="1"/>
    <col min="8701" max="8701" width="38.5703125" style="16" customWidth="1"/>
    <col min="8702" max="8702" width="13" style="16" customWidth="1"/>
    <col min="8703" max="8703" width="13.5703125" style="16" customWidth="1"/>
    <col min="8704" max="8704" width="8" style="16" customWidth="1"/>
    <col min="8705" max="8705" width="12.140625" style="16" customWidth="1"/>
    <col min="8706" max="8953" width="9.140625" style="16"/>
    <col min="8954" max="8954" width="6.85546875" style="16" customWidth="1"/>
    <col min="8955" max="8955" width="11.28515625" style="16" customWidth="1"/>
    <col min="8956" max="8956" width="43" style="16" customWidth="1"/>
    <col min="8957" max="8957" width="38.5703125" style="16" customWidth="1"/>
    <col min="8958" max="8958" width="13" style="16" customWidth="1"/>
    <col min="8959" max="8959" width="13.5703125" style="16" customWidth="1"/>
    <col min="8960" max="8960" width="8" style="16" customWidth="1"/>
    <col min="8961" max="8961" width="12.140625" style="16" customWidth="1"/>
    <col min="8962" max="9209" width="9.140625" style="16"/>
    <col min="9210" max="9210" width="6.85546875" style="16" customWidth="1"/>
    <col min="9211" max="9211" width="11.28515625" style="16" customWidth="1"/>
    <col min="9212" max="9212" width="43" style="16" customWidth="1"/>
    <col min="9213" max="9213" width="38.5703125" style="16" customWidth="1"/>
    <col min="9214" max="9214" width="13" style="16" customWidth="1"/>
    <col min="9215" max="9215" width="13.5703125" style="16" customWidth="1"/>
    <col min="9216" max="9216" width="8" style="16" customWidth="1"/>
    <col min="9217" max="9217" width="12.140625" style="16" customWidth="1"/>
    <col min="9218" max="9465" width="9.140625" style="16"/>
    <col min="9466" max="9466" width="6.85546875" style="16" customWidth="1"/>
    <col min="9467" max="9467" width="11.28515625" style="16" customWidth="1"/>
    <col min="9468" max="9468" width="43" style="16" customWidth="1"/>
    <col min="9469" max="9469" width="38.5703125" style="16" customWidth="1"/>
    <col min="9470" max="9470" width="13" style="16" customWidth="1"/>
    <col min="9471" max="9471" width="13.5703125" style="16" customWidth="1"/>
    <col min="9472" max="9472" width="8" style="16" customWidth="1"/>
    <col min="9473" max="9473" width="12.140625" style="16" customWidth="1"/>
    <col min="9474" max="9721" width="9.140625" style="16"/>
    <col min="9722" max="9722" width="6.85546875" style="16" customWidth="1"/>
    <col min="9723" max="9723" width="11.28515625" style="16" customWidth="1"/>
    <col min="9724" max="9724" width="43" style="16" customWidth="1"/>
    <col min="9725" max="9725" width="38.5703125" style="16" customWidth="1"/>
    <col min="9726" max="9726" width="13" style="16" customWidth="1"/>
    <col min="9727" max="9727" width="13.5703125" style="16" customWidth="1"/>
    <col min="9728" max="9728" width="8" style="16" customWidth="1"/>
    <col min="9729" max="9729" width="12.140625" style="16" customWidth="1"/>
    <col min="9730" max="9977" width="9.140625" style="16"/>
    <col min="9978" max="9978" width="6.85546875" style="16" customWidth="1"/>
    <col min="9979" max="9979" width="11.28515625" style="16" customWidth="1"/>
    <col min="9980" max="9980" width="43" style="16" customWidth="1"/>
    <col min="9981" max="9981" width="38.5703125" style="16" customWidth="1"/>
    <col min="9982" max="9982" width="13" style="16" customWidth="1"/>
    <col min="9983" max="9983" width="13.5703125" style="16" customWidth="1"/>
    <col min="9984" max="9984" width="8" style="16" customWidth="1"/>
    <col min="9985" max="9985" width="12.140625" style="16" customWidth="1"/>
    <col min="9986" max="10233" width="9.140625" style="16"/>
    <col min="10234" max="10234" width="6.85546875" style="16" customWidth="1"/>
    <col min="10235" max="10235" width="11.28515625" style="16" customWidth="1"/>
    <col min="10236" max="10236" width="43" style="16" customWidth="1"/>
    <col min="10237" max="10237" width="38.5703125" style="16" customWidth="1"/>
    <col min="10238" max="10238" width="13" style="16" customWidth="1"/>
    <col min="10239" max="10239" width="13.5703125" style="16" customWidth="1"/>
    <col min="10240" max="10240" width="8" style="16" customWidth="1"/>
    <col min="10241" max="10241" width="12.140625" style="16" customWidth="1"/>
    <col min="10242" max="10489" width="9.140625" style="16"/>
    <col min="10490" max="10490" width="6.85546875" style="16" customWidth="1"/>
    <col min="10491" max="10491" width="11.28515625" style="16" customWidth="1"/>
    <col min="10492" max="10492" width="43" style="16" customWidth="1"/>
    <col min="10493" max="10493" width="38.5703125" style="16" customWidth="1"/>
    <col min="10494" max="10494" width="13" style="16" customWidth="1"/>
    <col min="10495" max="10495" width="13.5703125" style="16" customWidth="1"/>
    <col min="10496" max="10496" width="8" style="16" customWidth="1"/>
    <col min="10497" max="10497" width="12.140625" style="16" customWidth="1"/>
    <col min="10498" max="10745" width="9.140625" style="16"/>
    <col min="10746" max="10746" width="6.85546875" style="16" customWidth="1"/>
    <col min="10747" max="10747" width="11.28515625" style="16" customWidth="1"/>
    <col min="10748" max="10748" width="43" style="16" customWidth="1"/>
    <col min="10749" max="10749" width="38.5703125" style="16" customWidth="1"/>
    <col min="10750" max="10750" width="13" style="16" customWidth="1"/>
    <col min="10751" max="10751" width="13.5703125" style="16" customWidth="1"/>
    <col min="10752" max="10752" width="8" style="16" customWidth="1"/>
    <col min="10753" max="10753" width="12.140625" style="16" customWidth="1"/>
    <col min="10754" max="11001" width="9.140625" style="16"/>
    <col min="11002" max="11002" width="6.85546875" style="16" customWidth="1"/>
    <col min="11003" max="11003" width="11.28515625" style="16" customWidth="1"/>
    <col min="11004" max="11004" width="43" style="16" customWidth="1"/>
    <col min="11005" max="11005" width="38.5703125" style="16" customWidth="1"/>
    <col min="11006" max="11006" width="13" style="16" customWidth="1"/>
    <col min="11007" max="11007" width="13.5703125" style="16" customWidth="1"/>
    <col min="11008" max="11008" width="8" style="16" customWidth="1"/>
    <col min="11009" max="11009" width="12.140625" style="16" customWidth="1"/>
    <col min="11010" max="11257" width="9.140625" style="16"/>
    <col min="11258" max="11258" width="6.85546875" style="16" customWidth="1"/>
    <col min="11259" max="11259" width="11.28515625" style="16" customWidth="1"/>
    <col min="11260" max="11260" width="43" style="16" customWidth="1"/>
    <col min="11261" max="11261" width="38.5703125" style="16" customWidth="1"/>
    <col min="11262" max="11262" width="13" style="16" customWidth="1"/>
    <col min="11263" max="11263" width="13.5703125" style="16" customWidth="1"/>
    <col min="11264" max="11264" width="8" style="16" customWidth="1"/>
    <col min="11265" max="11265" width="12.140625" style="16" customWidth="1"/>
    <col min="11266" max="11513" width="9.140625" style="16"/>
    <col min="11514" max="11514" width="6.85546875" style="16" customWidth="1"/>
    <col min="11515" max="11515" width="11.28515625" style="16" customWidth="1"/>
    <col min="11516" max="11516" width="43" style="16" customWidth="1"/>
    <col min="11517" max="11517" width="38.5703125" style="16" customWidth="1"/>
    <col min="11518" max="11518" width="13" style="16" customWidth="1"/>
    <col min="11519" max="11519" width="13.5703125" style="16" customWidth="1"/>
    <col min="11520" max="11520" width="8" style="16" customWidth="1"/>
    <col min="11521" max="11521" width="12.140625" style="16" customWidth="1"/>
    <col min="11522" max="11769" width="9.140625" style="16"/>
    <col min="11770" max="11770" width="6.85546875" style="16" customWidth="1"/>
    <col min="11771" max="11771" width="11.28515625" style="16" customWidth="1"/>
    <col min="11772" max="11772" width="43" style="16" customWidth="1"/>
    <col min="11773" max="11773" width="38.5703125" style="16" customWidth="1"/>
    <col min="11774" max="11774" width="13" style="16" customWidth="1"/>
    <col min="11775" max="11775" width="13.5703125" style="16" customWidth="1"/>
    <col min="11776" max="11776" width="8" style="16" customWidth="1"/>
    <col min="11777" max="11777" width="12.140625" style="16" customWidth="1"/>
    <col min="11778" max="12025" width="9.140625" style="16"/>
    <col min="12026" max="12026" width="6.85546875" style="16" customWidth="1"/>
    <col min="12027" max="12027" width="11.28515625" style="16" customWidth="1"/>
    <col min="12028" max="12028" width="43" style="16" customWidth="1"/>
    <col min="12029" max="12029" width="38.5703125" style="16" customWidth="1"/>
    <col min="12030" max="12030" width="13" style="16" customWidth="1"/>
    <col min="12031" max="12031" width="13.5703125" style="16" customWidth="1"/>
    <col min="12032" max="12032" width="8" style="16" customWidth="1"/>
    <col min="12033" max="12033" width="12.140625" style="16" customWidth="1"/>
    <col min="12034" max="12281" width="9.140625" style="16"/>
    <col min="12282" max="12282" width="6.85546875" style="16" customWidth="1"/>
    <col min="12283" max="12283" width="11.28515625" style="16" customWidth="1"/>
    <col min="12284" max="12284" width="43" style="16" customWidth="1"/>
    <col min="12285" max="12285" width="38.5703125" style="16" customWidth="1"/>
    <col min="12286" max="12286" width="13" style="16" customWidth="1"/>
    <col min="12287" max="12287" width="13.5703125" style="16" customWidth="1"/>
    <col min="12288" max="12288" width="8" style="16" customWidth="1"/>
    <col min="12289" max="12289" width="12.140625" style="16" customWidth="1"/>
    <col min="12290" max="12537" width="9.140625" style="16"/>
    <col min="12538" max="12538" width="6.85546875" style="16" customWidth="1"/>
    <col min="12539" max="12539" width="11.28515625" style="16" customWidth="1"/>
    <col min="12540" max="12540" width="43" style="16" customWidth="1"/>
    <col min="12541" max="12541" width="38.5703125" style="16" customWidth="1"/>
    <col min="12542" max="12542" width="13" style="16" customWidth="1"/>
    <col min="12543" max="12543" width="13.5703125" style="16" customWidth="1"/>
    <col min="12544" max="12544" width="8" style="16" customWidth="1"/>
    <col min="12545" max="12545" width="12.140625" style="16" customWidth="1"/>
    <col min="12546" max="12793" width="9.140625" style="16"/>
    <col min="12794" max="12794" width="6.85546875" style="16" customWidth="1"/>
    <col min="12795" max="12795" width="11.28515625" style="16" customWidth="1"/>
    <col min="12796" max="12796" width="43" style="16" customWidth="1"/>
    <col min="12797" max="12797" width="38.5703125" style="16" customWidth="1"/>
    <col min="12798" max="12798" width="13" style="16" customWidth="1"/>
    <col min="12799" max="12799" width="13.5703125" style="16" customWidth="1"/>
    <col min="12800" max="12800" width="8" style="16" customWidth="1"/>
    <col min="12801" max="12801" width="12.140625" style="16" customWidth="1"/>
    <col min="12802" max="13049" width="9.140625" style="16"/>
    <col min="13050" max="13050" width="6.85546875" style="16" customWidth="1"/>
    <col min="13051" max="13051" width="11.28515625" style="16" customWidth="1"/>
    <col min="13052" max="13052" width="43" style="16" customWidth="1"/>
    <col min="13053" max="13053" width="38.5703125" style="16" customWidth="1"/>
    <col min="13054" max="13054" width="13" style="16" customWidth="1"/>
    <col min="13055" max="13055" width="13.5703125" style="16" customWidth="1"/>
    <col min="13056" max="13056" width="8" style="16" customWidth="1"/>
    <col min="13057" max="13057" width="12.140625" style="16" customWidth="1"/>
    <col min="13058" max="13305" width="9.140625" style="16"/>
    <col min="13306" max="13306" width="6.85546875" style="16" customWidth="1"/>
    <col min="13307" max="13307" width="11.28515625" style="16" customWidth="1"/>
    <col min="13308" max="13308" width="43" style="16" customWidth="1"/>
    <col min="13309" max="13309" width="38.5703125" style="16" customWidth="1"/>
    <col min="13310" max="13310" width="13" style="16" customWidth="1"/>
    <col min="13311" max="13311" width="13.5703125" style="16" customWidth="1"/>
    <col min="13312" max="13312" width="8" style="16" customWidth="1"/>
    <col min="13313" max="13313" width="12.140625" style="16" customWidth="1"/>
    <col min="13314" max="13561" width="9.140625" style="16"/>
    <col min="13562" max="13562" width="6.85546875" style="16" customWidth="1"/>
    <col min="13563" max="13563" width="11.28515625" style="16" customWidth="1"/>
    <col min="13564" max="13564" width="43" style="16" customWidth="1"/>
    <col min="13565" max="13565" width="38.5703125" style="16" customWidth="1"/>
    <col min="13566" max="13566" width="13" style="16" customWidth="1"/>
    <col min="13567" max="13567" width="13.5703125" style="16" customWidth="1"/>
    <col min="13568" max="13568" width="8" style="16" customWidth="1"/>
    <col min="13569" max="13569" width="12.140625" style="16" customWidth="1"/>
    <col min="13570" max="13817" width="9.140625" style="16"/>
    <col min="13818" max="13818" width="6.85546875" style="16" customWidth="1"/>
    <col min="13819" max="13819" width="11.28515625" style="16" customWidth="1"/>
    <col min="13820" max="13820" width="43" style="16" customWidth="1"/>
    <col min="13821" max="13821" width="38.5703125" style="16" customWidth="1"/>
    <col min="13822" max="13822" width="13" style="16" customWidth="1"/>
    <col min="13823" max="13823" width="13.5703125" style="16" customWidth="1"/>
    <col min="13824" max="13824" width="8" style="16" customWidth="1"/>
    <col min="13825" max="13825" width="12.140625" style="16" customWidth="1"/>
    <col min="13826" max="14073" width="9.140625" style="16"/>
    <col min="14074" max="14074" width="6.85546875" style="16" customWidth="1"/>
    <col min="14075" max="14075" width="11.28515625" style="16" customWidth="1"/>
    <col min="14076" max="14076" width="43" style="16" customWidth="1"/>
    <col min="14077" max="14077" width="38.5703125" style="16" customWidth="1"/>
    <col min="14078" max="14078" width="13" style="16" customWidth="1"/>
    <col min="14079" max="14079" width="13.5703125" style="16" customWidth="1"/>
    <col min="14080" max="14080" width="8" style="16" customWidth="1"/>
    <col min="14081" max="14081" width="12.140625" style="16" customWidth="1"/>
    <col min="14082" max="14329" width="9.140625" style="16"/>
    <col min="14330" max="14330" width="6.85546875" style="16" customWidth="1"/>
    <col min="14331" max="14331" width="11.28515625" style="16" customWidth="1"/>
    <col min="14332" max="14332" width="43" style="16" customWidth="1"/>
    <col min="14333" max="14333" width="38.5703125" style="16" customWidth="1"/>
    <col min="14334" max="14334" width="13" style="16" customWidth="1"/>
    <col min="14335" max="14335" width="13.5703125" style="16" customWidth="1"/>
    <col min="14336" max="14336" width="8" style="16" customWidth="1"/>
    <col min="14337" max="14337" width="12.140625" style="16" customWidth="1"/>
    <col min="14338" max="14585" width="9.140625" style="16"/>
    <col min="14586" max="14586" width="6.85546875" style="16" customWidth="1"/>
    <col min="14587" max="14587" width="11.28515625" style="16" customWidth="1"/>
    <col min="14588" max="14588" width="43" style="16" customWidth="1"/>
    <col min="14589" max="14589" width="38.5703125" style="16" customWidth="1"/>
    <col min="14590" max="14590" width="13" style="16" customWidth="1"/>
    <col min="14591" max="14591" width="13.5703125" style="16" customWidth="1"/>
    <col min="14592" max="14592" width="8" style="16" customWidth="1"/>
    <col min="14593" max="14593" width="12.140625" style="16" customWidth="1"/>
    <col min="14594" max="14841" width="9.140625" style="16"/>
    <col min="14842" max="14842" width="6.85546875" style="16" customWidth="1"/>
    <col min="14843" max="14843" width="11.28515625" style="16" customWidth="1"/>
    <col min="14844" max="14844" width="43" style="16" customWidth="1"/>
    <col min="14845" max="14845" width="38.5703125" style="16" customWidth="1"/>
    <col min="14846" max="14846" width="13" style="16" customWidth="1"/>
    <col min="14847" max="14847" width="13.5703125" style="16" customWidth="1"/>
    <col min="14848" max="14848" width="8" style="16" customWidth="1"/>
    <col min="14849" max="14849" width="12.140625" style="16" customWidth="1"/>
    <col min="14850" max="15097" width="9.140625" style="16"/>
    <col min="15098" max="15098" width="6.85546875" style="16" customWidth="1"/>
    <col min="15099" max="15099" width="11.28515625" style="16" customWidth="1"/>
    <col min="15100" max="15100" width="43" style="16" customWidth="1"/>
    <col min="15101" max="15101" width="38.5703125" style="16" customWidth="1"/>
    <col min="15102" max="15102" width="13" style="16" customWidth="1"/>
    <col min="15103" max="15103" width="13.5703125" style="16" customWidth="1"/>
    <col min="15104" max="15104" width="8" style="16" customWidth="1"/>
    <col min="15105" max="15105" width="12.140625" style="16" customWidth="1"/>
    <col min="15106" max="15353" width="9.140625" style="16"/>
    <col min="15354" max="15354" width="6.85546875" style="16" customWidth="1"/>
    <col min="15355" max="15355" width="11.28515625" style="16" customWidth="1"/>
    <col min="15356" max="15356" width="43" style="16" customWidth="1"/>
    <col min="15357" max="15357" width="38.5703125" style="16" customWidth="1"/>
    <col min="15358" max="15358" width="13" style="16" customWidth="1"/>
    <col min="15359" max="15359" width="13.5703125" style="16" customWidth="1"/>
    <col min="15360" max="15360" width="8" style="16" customWidth="1"/>
    <col min="15361" max="15361" width="12.140625" style="16" customWidth="1"/>
    <col min="15362" max="15609" width="9.140625" style="16"/>
    <col min="15610" max="15610" width="6.85546875" style="16" customWidth="1"/>
    <col min="15611" max="15611" width="11.28515625" style="16" customWidth="1"/>
    <col min="15612" max="15612" width="43" style="16" customWidth="1"/>
    <col min="15613" max="15613" width="38.5703125" style="16" customWidth="1"/>
    <col min="15614" max="15614" width="13" style="16" customWidth="1"/>
    <col min="15615" max="15615" width="13.5703125" style="16" customWidth="1"/>
    <col min="15616" max="15616" width="8" style="16" customWidth="1"/>
    <col min="15617" max="15617" width="12.140625" style="16" customWidth="1"/>
    <col min="15618" max="15865" width="9.140625" style="16"/>
    <col min="15866" max="15866" width="6.85546875" style="16" customWidth="1"/>
    <col min="15867" max="15867" width="11.28515625" style="16" customWidth="1"/>
    <col min="15868" max="15868" width="43" style="16" customWidth="1"/>
    <col min="15869" max="15869" width="38.5703125" style="16" customWidth="1"/>
    <col min="15870" max="15870" width="13" style="16" customWidth="1"/>
    <col min="15871" max="15871" width="13.5703125" style="16" customWidth="1"/>
    <col min="15872" max="15872" width="8" style="16" customWidth="1"/>
    <col min="15873" max="15873" width="12.140625" style="16" customWidth="1"/>
    <col min="15874" max="16121" width="9.140625" style="16"/>
    <col min="16122" max="16122" width="6.85546875" style="16" customWidth="1"/>
    <col min="16123" max="16123" width="11.28515625" style="16" customWidth="1"/>
    <col min="16124" max="16124" width="43" style="16" customWidth="1"/>
    <col min="16125" max="16125" width="38.5703125" style="16" customWidth="1"/>
    <col min="16126" max="16126" width="13" style="16" customWidth="1"/>
    <col min="16127" max="16127" width="13.5703125" style="16" customWidth="1"/>
    <col min="16128" max="16128" width="8" style="16" customWidth="1"/>
    <col min="16129" max="16129" width="12.140625" style="16" customWidth="1"/>
    <col min="16130" max="16384" width="9.140625" style="16"/>
  </cols>
  <sheetData>
    <row r="1" spans="1:5" s="14" customFormat="1" ht="22.5" x14ac:dyDescent="0.25">
      <c r="A1" s="13" t="s">
        <v>3</v>
      </c>
      <c r="B1" s="13" t="s">
        <v>4</v>
      </c>
      <c r="C1" s="13" t="s">
        <v>5</v>
      </c>
      <c r="D1" s="13" t="s">
        <v>23</v>
      </c>
    </row>
    <row r="2" spans="1:5" x14ac:dyDescent="0.25">
      <c r="A2" s="4"/>
      <c r="B2" s="5" t="s">
        <v>18</v>
      </c>
      <c r="C2" s="4"/>
      <c r="D2" s="4"/>
      <c r="E2" s="15"/>
    </row>
    <row r="3" spans="1:5" s="20" customFormat="1" ht="80.099999999999994" customHeight="1" x14ac:dyDescent="0.25">
      <c r="A3" s="6">
        <v>1093021</v>
      </c>
      <c r="B3" s="8" t="s">
        <v>133</v>
      </c>
      <c r="C3" s="17"/>
      <c r="D3" s="18"/>
      <c r="E3" s="19"/>
    </row>
    <row r="4" spans="1:5" s="20" customFormat="1" ht="80.099999999999994" customHeight="1" x14ac:dyDescent="0.25">
      <c r="A4" s="6">
        <v>1093133</v>
      </c>
      <c r="B4" s="8" t="s">
        <v>62</v>
      </c>
      <c r="C4" s="17"/>
      <c r="D4" s="21"/>
      <c r="E4" s="19"/>
    </row>
    <row r="5" spans="1:5" s="20" customFormat="1" ht="80.099999999999994" customHeight="1" x14ac:dyDescent="0.25">
      <c r="A5" s="6">
        <v>1087816</v>
      </c>
      <c r="B5" s="7" t="s">
        <v>45</v>
      </c>
      <c r="C5" s="17"/>
      <c r="D5" s="21"/>
      <c r="E5" s="19"/>
    </row>
    <row r="6" spans="1:5" s="20" customFormat="1" ht="80.099999999999994" customHeight="1" x14ac:dyDescent="0.25">
      <c r="A6" s="6">
        <v>1087817</v>
      </c>
      <c r="B6" s="7" t="s">
        <v>44</v>
      </c>
      <c r="C6" s="17"/>
      <c r="D6" s="21"/>
      <c r="E6" s="19"/>
    </row>
    <row r="7" spans="1:5" s="20" customFormat="1" ht="80.099999999999994" customHeight="1" x14ac:dyDescent="0.25">
      <c r="A7" s="6">
        <v>1087815</v>
      </c>
      <c r="B7" s="7" t="s">
        <v>46</v>
      </c>
      <c r="C7" s="17"/>
      <c r="D7" s="21"/>
      <c r="E7" s="19"/>
    </row>
    <row r="8" spans="1:5" s="20" customFormat="1" ht="80.099999999999994" customHeight="1" x14ac:dyDescent="0.25">
      <c r="A8" s="6">
        <v>1086984</v>
      </c>
      <c r="B8" s="7" t="s">
        <v>47</v>
      </c>
      <c r="C8" s="17"/>
      <c r="D8" s="21"/>
      <c r="E8" s="19"/>
    </row>
    <row r="9" spans="1:5" s="20" customFormat="1" ht="80.099999999999994" customHeight="1" x14ac:dyDescent="0.25">
      <c r="A9" s="6">
        <v>1093030</v>
      </c>
      <c r="B9" s="7" t="s">
        <v>105</v>
      </c>
      <c r="C9" s="17"/>
      <c r="D9" s="21"/>
      <c r="E9" s="19"/>
    </row>
    <row r="10" spans="1:5" s="20" customFormat="1" ht="80.099999999999994" customHeight="1" x14ac:dyDescent="0.25">
      <c r="A10" s="6">
        <v>1087778</v>
      </c>
      <c r="B10" s="7"/>
      <c r="C10" s="17"/>
      <c r="D10" s="21"/>
      <c r="E10" s="19"/>
    </row>
    <row r="11" spans="1:5" s="20" customFormat="1" ht="80.099999999999994" customHeight="1" x14ac:dyDescent="0.25">
      <c r="A11" s="6">
        <v>1090262</v>
      </c>
      <c r="B11" s="7"/>
      <c r="C11" s="17"/>
      <c r="D11" s="21"/>
      <c r="E11" s="19"/>
    </row>
    <row r="12" spans="1:5" s="23" customFormat="1" ht="80.099999999999994" customHeight="1" x14ac:dyDescent="0.25">
      <c r="A12" s="9">
        <v>1083575</v>
      </c>
      <c r="B12" s="7"/>
      <c r="C12" s="17"/>
      <c r="D12" s="21"/>
      <c r="E12" s="22"/>
    </row>
    <row r="13" spans="1:5" s="25" customFormat="1" ht="80.099999999999994" customHeight="1" x14ac:dyDescent="0.25">
      <c r="A13" s="6">
        <v>1071660</v>
      </c>
      <c r="B13" s="7" t="s">
        <v>0</v>
      </c>
      <c r="C13" s="17"/>
      <c r="D13" s="21"/>
      <c r="E13" s="24"/>
    </row>
    <row r="14" spans="1:5" s="25" customFormat="1" ht="80.099999999999994" customHeight="1" x14ac:dyDescent="0.25">
      <c r="A14" s="6">
        <v>1071673</v>
      </c>
      <c r="B14" s="7" t="s">
        <v>135</v>
      </c>
      <c r="C14" s="17"/>
      <c r="D14" s="21"/>
      <c r="E14" s="24"/>
    </row>
    <row r="15" spans="1:5" s="20" customFormat="1" ht="80.099999999999994" customHeight="1" x14ac:dyDescent="0.25">
      <c r="A15" s="6">
        <v>1005100</v>
      </c>
      <c r="B15" s="7" t="s">
        <v>134</v>
      </c>
      <c r="C15" s="17"/>
      <c r="D15" s="21"/>
      <c r="E15" s="19"/>
    </row>
    <row r="16" spans="1:5" s="20" customFormat="1" ht="80.099999999999994" customHeight="1" x14ac:dyDescent="0.25">
      <c r="A16" s="6">
        <v>1090263</v>
      </c>
      <c r="B16" s="8" t="s">
        <v>67</v>
      </c>
      <c r="C16" s="17"/>
      <c r="D16" s="21"/>
      <c r="E16" s="19"/>
    </row>
    <row r="17" spans="1:10" s="25" customFormat="1" ht="80.099999999999994" customHeight="1" x14ac:dyDescent="0.25">
      <c r="A17" s="6">
        <v>1078304</v>
      </c>
      <c r="B17" s="7"/>
      <c r="C17" s="17"/>
      <c r="D17" s="21"/>
      <c r="E17" s="24"/>
    </row>
    <row r="18" spans="1:10" x14ac:dyDescent="0.25">
      <c r="A18" s="4"/>
      <c r="B18" s="5" t="s">
        <v>19</v>
      </c>
      <c r="C18" s="17"/>
      <c r="D18" s="4"/>
      <c r="E18" s="15"/>
      <c r="I18" s="14"/>
      <c r="J18" s="14"/>
    </row>
    <row r="19" spans="1:10" ht="80.099999999999994" customHeight="1" x14ac:dyDescent="0.25">
      <c r="A19" s="6">
        <v>1093017</v>
      </c>
      <c r="B19" s="8" t="s">
        <v>136</v>
      </c>
      <c r="C19" s="17"/>
      <c r="D19" s="21"/>
      <c r="E19" s="15"/>
      <c r="I19" s="14"/>
      <c r="J19" s="14"/>
    </row>
    <row r="20" spans="1:10" ht="80.099999999999994" customHeight="1" x14ac:dyDescent="0.25">
      <c r="A20" s="6">
        <v>1093134</v>
      </c>
      <c r="B20" s="8" t="s">
        <v>63</v>
      </c>
      <c r="C20" s="17"/>
      <c r="D20" s="21"/>
      <c r="E20" s="15"/>
      <c r="I20" s="14"/>
      <c r="J20" s="14"/>
    </row>
    <row r="21" spans="1:10" ht="80.099999999999994" customHeight="1" x14ac:dyDescent="0.25">
      <c r="A21" s="6">
        <v>1087813</v>
      </c>
      <c r="B21" s="7" t="s">
        <v>51</v>
      </c>
      <c r="C21" s="17"/>
      <c r="D21" s="21"/>
      <c r="E21" s="15"/>
      <c r="I21" s="14"/>
      <c r="J21" s="14"/>
    </row>
    <row r="22" spans="1:10" ht="80.099999999999994" customHeight="1" x14ac:dyDescent="0.25">
      <c r="A22" s="6">
        <v>1087814</v>
      </c>
      <c r="B22" s="7" t="s">
        <v>52</v>
      </c>
      <c r="C22" s="17"/>
      <c r="D22" s="21"/>
      <c r="E22" s="15"/>
      <c r="I22" s="14"/>
      <c r="J22" s="14"/>
    </row>
    <row r="23" spans="1:10" ht="80.099999999999994" customHeight="1" x14ac:dyDescent="0.25">
      <c r="A23" s="6">
        <v>1087812</v>
      </c>
      <c r="B23" s="7" t="s">
        <v>53</v>
      </c>
      <c r="C23" s="17"/>
      <c r="D23" s="21"/>
      <c r="E23" s="15"/>
      <c r="I23" s="14"/>
      <c r="J23" s="14"/>
    </row>
    <row r="24" spans="1:10" s="20" customFormat="1" ht="80.099999999999994" customHeight="1" x14ac:dyDescent="0.25">
      <c r="A24" s="6">
        <v>1086977</v>
      </c>
      <c r="B24" s="7" t="s">
        <v>49</v>
      </c>
      <c r="C24" s="17"/>
      <c r="D24" s="21"/>
      <c r="E24" s="19"/>
    </row>
    <row r="25" spans="1:10" s="20" customFormat="1" ht="80.099999999999994" customHeight="1" x14ac:dyDescent="0.25">
      <c r="A25" s="6">
        <v>1093030</v>
      </c>
      <c r="B25" s="7" t="s">
        <v>105</v>
      </c>
      <c r="C25" s="17"/>
      <c r="D25" s="21"/>
      <c r="E25" s="19"/>
    </row>
    <row r="26" spans="1:10" x14ac:dyDescent="0.25">
      <c r="A26" s="4"/>
      <c r="B26" s="5" t="s">
        <v>24</v>
      </c>
      <c r="C26" s="17"/>
      <c r="D26" s="4"/>
      <c r="E26" s="15"/>
      <c r="I26" s="14"/>
      <c r="J26" s="14"/>
    </row>
    <row r="27" spans="1:10" s="27" customFormat="1" ht="120" customHeight="1" x14ac:dyDescent="0.25">
      <c r="A27" s="12">
        <v>14</v>
      </c>
      <c r="B27" s="11" t="s">
        <v>26</v>
      </c>
      <c r="C27" s="17"/>
      <c r="D27" s="29"/>
      <c r="E27" s="26"/>
    </row>
    <row r="28" spans="1:10" s="14" customFormat="1" ht="120" customHeight="1" x14ac:dyDescent="0.25">
      <c r="A28" s="10">
        <v>13</v>
      </c>
      <c r="B28" s="11" t="s">
        <v>27</v>
      </c>
      <c r="C28" s="17"/>
      <c r="D28" s="29"/>
      <c r="E28" s="28"/>
    </row>
    <row r="29" spans="1:10" s="27" customFormat="1" ht="120" customHeight="1" x14ac:dyDescent="0.25">
      <c r="A29" s="12">
        <v>12</v>
      </c>
      <c r="B29" s="11" t="s">
        <v>28</v>
      </c>
      <c r="C29" s="17"/>
      <c r="D29" s="29"/>
      <c r="E29" s="26"/>
    </row>
    <row r="30" spans="1:10" s="14" customFormat="1" ht="120" customHeight="1" x14ac:dyDescent="0.25">
      <c r="A30" s="10">
        <v>11</v>
      </c>
      <c r="B30" s="11" t="s">
        <v>29</v>
      </c>
      <c r="C30" s="17"/>
      <c r="D30" s="29"/>
      <c r="E30" s="28"/>
    </row>
    <row r="31" spans="1:10" s="14" customFormat="1" ht="120" customHeight="1" x14ac:dyDescent="0.25">
      <c r="A31" s="12">
        <v>10</v>
      </c>
      <c r="B31" s="11" t="s">
        <v>30</v>
      </c>
      <c r="C31" s="17"/>
      <c r="D31" s="29"/>
      <c r="E31" s="28"/>
    </row>
    <row r="32" spans="1:10" s="14" customFormat="1" ht="120" customHeight="1" x14ac:dyDescent="0.25">
      <c r="A32" s="10">
        <v>9</v>
      </c>
      <c r="B32" s="11" t="s">
        <v>31</v>
      </c>
      <c r="C32" s="17"/>
      <c r="D32" s="29"/>
      <c r="E32" s="28"/>
    </row>
    <row r="33" spans="1:5" s="27" customFormat="1" ht="120" customHeight="1" x14ac:dyDescent="0.25">
      <c r="A33" s="12">
        <v>8</v>
      </c>
      <c r="B33" s="11" t="s">
        <v>32</v>
      </c>
      <c r="C33" s="17"/>
      <c r="D33" s="29"/>
      <c r="E33" s="26"/>
    </row>
    <row r="34" spans="1:5" s="14" customFormat="1" ht="120" customHeight="1" x14ac:dyDescent="0.25">
      <c r="A34" s="10">
        <v>7</v>
      </c>
      <c r="B34" s="11" t="s">
        <v>33</v>
      </c>
      <c r="C34" s="17"/>
      <c r="D34" s="29"/>
      <c r="E34" s="28"/>
    </row>
    <row r="35" spans="1:5" s="14" customFormat="1" ht="120" customHeight="1" x14ac:dyDescent="0.25">
      <c r="A35" s="12">
        <v>6</v>
      </c>
      <c r="B35" s="11" t="s">
        <v>25</v>
      </c>
      <c r="C35" s="17"/>
      <c r="D35" s="29"/>
      <c r="E35" s="28"/>
    </row>
    <row r="36" spans="1:5" s="14" customFormat="1" ht="120" customHeight="1" x14ac:dyDescent="0.25">
      <c r="A36" s="10">
        <v>5</v>
      </c>
      <c r="B36" s="11" t="s">
        <v>34</v>
      </c>
      <c r="C36" s="17"/>
      <c r="D36" s="29"/>
      <c r="E36" s="28"/>
    </row>
    <row r="37" spans="1:5" s="27" customFormat="1" ht="120" customHeight="1" x14ac:dyDescent="0.25">
      <c r="A37" s="12">
        <v>4</v>
      </c>
      <c r="B37" s="11" t="s">
        <v>35</v>
      </c>
      <c r="C37" s="17"/>
      <c r="D37" s="29"/>
      <c r="E37" s="26"/>
    </row>
    <row r="38" spans="1:5" s="14" customFormat="1" ht="120" customHeight="1" x14ac:dyDescent="0.25">
      <c r="A38" s="10">
        <v>3</v>
      </c>
      <c r="B38" s="11" t="s">
        <v>37</v>
      </c>
      <c r="C38" s="17"/>
      <c r="D38" s="29"/>
      <c r="E38" s="28"/>
    </row>
    <row r="39" spans="1:5" s="14" customFormat="1" ht="120" customHeight="1" x14ac:dyDescent="0.25">
      <c r="A39" s="12">
        <v>2</v>
      </c>
      <c r="B39" s="11" t="s">
        <v>36</v>
      </c>
      <c r="C39" s="17"/>
      <c r="D39" s="29"/>
      <c r="E39" s="28"/>
    </row>
    <row r="40" spans="1:5" s="14" customFormat="1" ht="120" customHeight="1" x14ac:dyDescent="0.25">
      <c r="A40" s="12">
        <v>2</v>
      </c>
      <c r="B40" s="11" t="s">
        <v>55</v>
      </c>
      <c r="C40" s="17"/>
      <c r="D40" s="29"/>
      <c r="E40" s="28"/>
    </row>
    <row r="41" spans="1:5" s="14" customFormat="1" ht="120" customHeight="1" x14ac:dyDescent="0.25">
      <c r="A41" s="10">
        <v>1005675</v>
      </c>
      <c r="B41" s="11" t="s">
        <v>50</v>
      </c>
      <c r="C41" s="17"/>
      <c r="D41" s="29"/>
      <c r="E41" s="28"/>
    </row>
    <row r="42" spans="1:5" s="27" customFormat="1" ht="159.94999999999999" customHeight="1" x14ac:dyDescent="0.25">
      <c r="A42" s="12">
        <v>1086546</v>
      </c>
      <c r="B42" s="11" t="s">
        <v>137</v>
      </c>
      <c r="C42" s="17"/>
      <c r="D42" s="29"/>
      <c r="E42" s="26"/>
    </row>
  </sheetData>
  <autoFilter ref="A1:D42" xr:uid="{00000000-0009-0000-0000-000001000000}"/>
  <conditionalFormatting sqref="A1">
    <cfRule type="duplicateValues" dxfId="247" priority="653"/>
  </conditionalFormatting>
  <conditionalFormatting sqref="A1">
    <cfRule type="duplicateValues" dxfId="246" priority="652"/>
  </conditionalFormatting>
  <conditionalFormatting sqref="A2">
    <cfRule type="duplicateValues" dxfId="245" priority="429"/>
  </conditionalFormatting>
  <conditionalFormatting sqref="A8">
    <cfRule type="duplicateValues" dxfId="244" priority="427"/>
  </conditionalFormatting>
  <conditionalFormatting sqref="A6:A7">
    <cfRule type="duplicateValues" dxfId="243" priority="425"/>
  </conditionalFormatting>
  <conditionalFormatting sqref="A4">
    <cfRule type="duplicateValues" dxfId="242" priority="428"/>
  </conditionalFormatting>
  <conditionalFormatting sqref="A9">
    <cfRule type="duplicateValues" dxfId="241" priority="424"/>
  </conditionalFormatting>
  <conditionalFormatting sqref="A10">
    <cfRule type="duplicateValues" dxfId="240" priority="423"/>
  </conditionalFormatting>
  <conditionalFormatting sqref="A3">
    <cfRule type="duplicateValues" dxfId="239" priority="421"/>
  </conditionalFormatting>
  <conditionalFormatting sqref="A11">
    <cfRule type="duplicateValues" dxfId="238" priority="420"/>
  </conditionalFormatting>
  <conditionalFormatting sqref="A5">
    <cfRule type="duplicateValues" dxfId="237" priority="419"/>
  </conditionalFormatting>
  <conditionalFormatting sqref="A12">
    <cfRule type="duplicateValues" dxfId="236" priority="414"/>
  </conditionalFormatting>
  <conditionalFormatting sqref="A13">
    <cfRule type="duplicateValues" dxfId="235" priority="412"/>
  </conditionalFormatting>
  <conditionalFormatting sqref="A17">
    <cfRule type="duplicateValues" dxfId="234" priority="411"/>
  </conditionalFormatting>
  <conditionalFormatting sqref="B2">
    <cfRule type="duplicateValues" dxfId="233" priority="410"/>
  </conditionalFormatting>
  <conditionalFormatting sqref="A14">
    <cfRule type="duplicateValues" dxfId="232" priority="409"/>
  </conditionalFormatting>
  <conditionalFormatting sqref="A18">
    <cfRule type="duplicateValues" dxfId="231" priority="376"/>
  </conditionalFormatting>
  <conditionalFormatting sqref="B18">
    <cfRule type="duplicateValues" dxfId="230" priority="375"/>
  </conditionalFormatting>
  <conditionalFormatting sqref="A16">
    <cfRule type="duplicateValues" dxfId="229" priority="328"/>
  </conditionalFormatting>
  <conditionalFormatting sqref="A15">
    <cfRule type="duplicateValues" dxfId="228" priority="327"/>
  </conditionalFormatting>
  <conditionalFormatting sqref="A1">
    <cfRule type="duplicateValues" dxfId="227" priority="905"/>
  </conditionalFormatting>
  <conditionalFormatting sqref="B1:D1">
    <cfRule type="duplicateValues" dxfId="226" priority="906"/>
  </conditionalFormatting>
  <conditionalFormatting sqref="A26">
    <cfRule type="duplicateValues" dxfId="225" priority="18"/>
  </conditionalFormatting>
  <conditionalFormatting sqref="B26">
    <cfRule type="duplicateValues" dxfId="224" priority="17"/>
  </conditionalFormatting>
  <conditionalFormatting sqref="A41">
    <cfRule type="duplicateValues" dxfId="223" priority="16"/>
  </conditionalFormatting>
  <conditionalFormatting sqref="A27 A29 A31 A33 A35 A37 A39">
    <cfRule type="duplicateValues" dxfId="222" priority="6"/>
  </conditionalFormatting>
  <conditionalFormatting sqref="A28 A30 A32 A34 A36 A38">
    <cfRule type="duplicateValues" dxfId="221" priority="921"/>
  </conditionalFormatting>
  <conditionalFormatting sqref="A24">
    <cfRule type="duplicateValues" dxfId="220" priority="3"/>
  </conditionalFormatting>
  <conditionalFormatting sqref="A25">
    <cfRule type="duplicateValues" dxfId="219" priority="2"/>
  </conditionalFormatting>
  <conditionalFormatting sqref="A40">
    <cfRule type="duplicateValues" dxfId="218" priority="1"/>
  </conditionalFormatting>
  <conditionalFormatting sqref="A19:A23">
    <cfRule type="duplicateValues" dxfId="217" priority="1016"/>
  </conditionalFormatting>
  <conditionalFormatting sqref="A43:A1048576">
    <cfRule type="duplicateValues" dxfId="216" priority="1017"/>
  </conditionalFormatting>
  <conditionalFormatting sqref="A42">
    <cfRule type="duplicateValues" dxfId="215" priority="1023"/>
  </conditionalFormatting>
  <pageMargins left="0.70866141732283472" right="0.70866141732283472" top="0.74803149606299213" bottom="0.74803149606299213" header="0.31496062992125984" footer="0.31496062992125984"/>
  <pageSetup paperSize="9" scale="10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2C8"/>
    <pageSetUpPr fitToPage="1"/>
  </sheetPr>
  <dimension ref="A1:J7"/>
  <sheetViews>
    <sheetView zoomScaleNormal="100" zoomScaleSheetLayoutView="100" workbookViewId="0">
      <selection sqref="A1:C1"/>
    </sheetView>
  </sheetViews>
  <sheetFormatPr defaultRowHeight="15" x14ac:dyDescent="0.25"/>
  <cols>
    <col min="1" max="1" width="3" style="16" customWidth="1"/>
    <col min="2" max="9" width="9.140625" style="16"/>
    <col min="10" max="10" width="20" style="16" customWidth="1"/>
    <col min="11" max="11" width="11.28515625" style="16" customWidth="1"/>
    <col min="12" max="16384" width="9.140625" style="16"/>
  </cols>
  <sheetData>
    <row r="1" spans="1:10" x14ac:dyDescent="0.25">
      <c r="A1" s="155" t="s">
        <v>125</v>
      </c>
      <c r="B1" s="155"/>
      <c r="C1" s="155"/>
    </row>
    <row r="2" spans="1:10" ht="16.5" x14ac:dyDescent="0.25">
      <c r="A2" s="131">
        <v>1</v>
      </c>
      <c r="B2" s="130" t="s">
        <v>130</v>
      </c>
    </row>
    <row r="3" spans="1:10" ht="32.25" customHeight="1" x14ac:dyDescent="0.25">
      <c r="A3" s="131">
        <v>2</v>
      </c>
      <c r="B3" s="154" t="s">
        <v>132</v>
      </c>
      <c r="C3" s="154"/>
      <c r="D3" s="154"/>
      <c r="E3" s="154"/>
      <c r="F3" s="154"/>
      <c r="G3" s="154"/>
      <c r="H3" s="154"/>
      <c r="I3" s="154"/>
      <c r="J3" s="154"/>
    </row>
    <row r="4" spans="1:10" ht="30.75" customHeight="1" x14ac:dyDescent="0.25">
      <c r="A4" s="131">
        <v>3</v>
      </c>
      <c r="B4" s="154" t="s">
        <v>126</v>
      </c>
      <c r="C4" s="154"/>
      <c r="D4" s="154"/>
      <c r="E4" s="154"/>
      <c r="F4" s="154"/>
      <c r="G4" s="154"/>
      <c r="H4" s="154"/>
      <c r="I4" s="154"/>
      <c r="J4" s="154"/>
    </row>
    <row r="5" spans="1:10" ht="49.5" customHeight="1" x14ac:dyDescent="0.25">
      <c r="A5" s="131">
        <v>4</v>
      </c>
      <c r="B5" s="154" t="s">
        <v>129</v>
      </c>
      <c r="C5" s="154"/>
      <c r="D5" s="154"/>
      <c r="E5" s="154"/>
      <c r="F5" s="154"/>
      <c r="G5" s="154"/>
      <c r="H5" s="154"/>
      <c r="I5" s="154"/>
      <c r="J5" s="154"/>
    </row>
    <row r="6" spans="1:10" ht="16.5" x14ac:dyDescent="0.25">
      <c r="A6" s="131">
        <v>5</v>
      </c>
      <c r="B6" s="130" t="s">
        <v>127</v>
      </c>
    </row>
    <row r="7" spans="1:10" ht="16.5" x14ac:dyDescent="0.25">
      <c r="A7" s="131">
        <v>6</v>
      </c>
      <c r="B7" s="130" t="s">
        <v>128</v>
      </c>
    </row>
  </sheetData>
  <sheetProtection algorithmName="SHA-512" hashValue="ydcN5bSYWz35L5QxX1Vx5GJss57beBy0eHtxNWXzrvmdD+TkamPnQvumZ/dp5NKo6DTCEDCgf8BNcw0eWygigw==" saltValue="wT2H0HvDPV7Z6cm6tb6VtA==" spinCount="100000" sheet="1" objects="1" scenarios="1"/>
  <mergeCells count="4">
    <mergeCell ref="B5:J5"/>
    <mergeCell ref="B4:J4"/>
    <mergeCell ref="A1:C1"/>
    <mergeCell ref="B3:J3"/>
  </mergeCells>
  <printOptions horizontalCentered="1"/>
  <pageMargins left="0.39370078740157483" right="0.23622047244094491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Аркуш4">
    <tabColor rgb="FF0062C8"/>
    <pageSetUpPr fitToPage="1"/>
  </sheetPr>
  <dimension ref="A1:BP160"/>
  <sheetViews>
    <sheetView tabSelected="1" zoomScale="90" zoomScaleNormal="90" workbookViewId="0">
      <selection activeCell="C3" sqref="C3"/>
    </sheetView>
  </sheetViews>
  <sheetFormatPr defaultColWidth="9.140625" defaultRowHeight="14.25" x14ac:dyDescent="0.3"/>
  <cols>
    <col min="1" max="1" width="14.7109375" style="93" customWidth="1"/>
    <col min="2" max="2" width="21.7109375" style="93" customWidth="1"/>
    <col min="3" max="3" width="21.7109375" style="120" customWidth="1"/>
    <col min="4" max="4" width="22.7109375" style="120" customWidth="1"/>
    <col min="5" max="5" width="21.7109375" style="120" customWidth="1"/>
    <col min="6" max="6" width="21.7109375" style="93" customWidth="1"/>
    <col min="7" max="7" width="9.140625" style="92" customWidth="1"/>
    <col min="8" max="11" width="9.140625" style="92"/>
    <col min="12" max="13" width="9.140625" style="92" customWidth="1"/>
    <col min="14" max="53" width="9.140625" style="92"/>
    <col min="54" max="54" width="9.140625" style="132"/>
    <col min="55" max="244" width="9.140625" style="93"/>
    <col min="245" max="245" width="6.85546875" style="93" customWidth="1"/>
    <col min="246" max="246" width="11.28515625" style="93" customWidth="1"/>
    <col min="247" max="247" width="43" style="93" customWidth="1"/>
    <col min="248" max="248" width="38.5703125" style="93" customWidth="1"/>
    <col min="249" max="249" width="13" style="93" customWidth="1"/>
    <col min="250" max="250" width="13.5703125" style="93" customWidth="1"/>
    <col min="251" max="251" width="8" style="93" customWidth="1"/>
    <col min="252" max="252" width="12.140625" style="93" customWidth="1"/>
    <col min="253" max="500" width="9.140625" style="93"/>
    <col min="501" max="501" width="6.85546875" style="93" customWidth="1"/>
    <col min="502" max="502" width="11.28515625" style="93" customWidth="1"/>
    <col min="503" max="503" width="43" style="93" customWidth="1"/>
    <col min="504" max="504" width="38.5703125" style="93" customWidth="1"/>
    <col min="505" max="505" width="13" style="93" customWidth="1"/>
    <col min="506" max="506" width="13.5703125" style="93" customWidth="1"/>
    <col min="507" max="507" width="8" style="93" customWidth="1"/>
    <col min="508" max="508" width="12.140625" style="93" customWidth="1"/>
    <col min="509" max="756" width="9.140625" style="93"/>
    <col min="757" max="757" width="6.85546875" style="93" customWidth="1"/>
    <col min="758" max="758" width="11.28515625" style="93" customWidth="1"/>
    <col min="759" max="759" width="43" style="93" customWidth="1"/>
    <col min="760" max="760" width="38.5703125" style="93" customWidth="1"/>
    <col min="761" max="761" width="13" style="93" customWidth="1"/>
    <col min="762" max="762" width="13.5703125" style="93" customWidth="1"/>
    <col min="763" max="763" width="8" style="93" customWidth="1"/>
    <col min="764" max="764" width="12.140625" style="93" customWidth="1"/>
    <col min="765" max="1012" width="9.140625" style="93"/>
    <col min="1013" max="1013" width="6.85546875" style="93" customWidth="1"/>
    <col min="1014" max="1014" width="11.28515625" style="93" customWidth="1"/>
    <col min="1015" max="1015" width="43" style="93" customWidth="1"/>
    <col min="1016" max="1016" width="38.5703125" style="93" customWidth="1"/>
    <col min="1017" max="1017" width="13" style="93" customWidth="1"/>
    <col min="1018" max="1018" width="13.5703125" style="93" customWidth="1"/>
    <col min="1019" max="1019" width="8" style="93" customWidth="1"/>
    <col min="1020" max="1020" width="12.140625" style="93" customWidth="1"/>
    <col min="1021" max="1268" width="9.140625" style="93"/>
    <col min="1269" max="1269" width="6.85546875" style="93" customWidth="1"/>
    <col min="1270" max="1270" width="11.28515625" style="93" customWidth="1"/>
    <col min="1271" max="1271" width="43" style="93" customWidth="1"/>
    <col min="1272" max="1272" width="38.5703125" style="93" customWidth="1"/>
    <col min="1273" max="1273" width="13" style="93" customWidth="1"/>
    <col min="1274" max="1274" width="13.5703125" style="93" customWidth="1"/>
    <col min="1275" max="1275" width="8" style="93" customWidth="1"/>
    <col min="1276" max="1276" width="12.140625" style="93" customWidth="1"/>
    <col min="1277" max="1524" width="9.140625" style="93"/>
    <col min="1525" max="1525" width="6.85546875" style="93" customWidth="1"/>
    <col min="1526" max="1526" width="11.28515625" style="93" customWidth="1"/>
    <col min="1527" max="1527" width="43" style="93" customWidth="1"/>
    <col min="1528" max="1528" width="38.5703125" style="93" customWidth="1"/>
    <col min="1529" max="1529" width="13" style="93" customWidth="1"/>
    <col min="1530" max="1530" width="13.5703125" style="93" customWidth="1"/>
    <col min="1531" max="1531" width="8" style="93" customWidth="1"/>
    <col min="1532" max="1532" width="12.140625" style="93" customWidth="1"/>
    <col min="1533" max="1780" width="9.140625" style="93"/>
    <col min="1781" max="1781" width="6.85546875" style="93" customWidth="1"/>
    <col min="1782" max="1782" width="11.28515625" style="93" customWidth="1"/>
    <col min="1783" max="1783" width="43" style="93" customWidth="1"/>
    <col min="1784" max="1784" width="38.5703125" style="93" customWidth="1"/>
    <col min="1785" max="1785" width="13" style="93" customWidth="1"/>
    <col min="1786" max="1786" width="13.5703125" style="93" customWidth="1"/>
    <col min="1787" max="1787" width="8" style="93" customWidth="1"/>
    <col min="1788" max="1788" width="12.140625" style="93" customWidth="1"/>
    <col min="1789" max="2036" width="9.140625" style="93"/>
    <col min="2037" max="2037" width="6.85546875" style="93" customWidth="1"/>
    <col min="2038" max="2038" width="11.28515625" style="93" customWidth="1"/>
    <col min="2039" max="2039" width="43" style="93" customWidth="1"/>
    <col min="2040" max="2040" width="38.5703125" style="93" customWidth="1"/>
    <col min="2041" max="2041" width="13" style="93" customWidth="1"/>
    <col min="2042" max="2042" width="13.5703125" style="93" customWidth="1"/>
    <col min="2043" max="2043" width="8" style="93" customWidth="1"/>
    <col min="2044" max="2044" width="12.140625" style="93" customWidth="1"/>
    <col min="2045" max="2292" width="9.140625" style="93"/>
    <col min="2293" max="2293" width="6.85546875" style="93" customWidth="1"/>
    <col min="2294" max="2294" width="11.28515625" style="93" customWidth="1"/>
    <col min="2295" max="2295" width="43" style="93" customWidth="1"/>
    <col min="2296" max="2296" width="38.5703125" style="93" customWidth="1"/>
    <col min="2297" max="2297" width="13" style="93" customWidth="1"/>
    <col min="2298" max="2298" width="13.5703125" style="93" customWidth="1"/>
    <col min="2299" max="2299" width="8" style="93" customWidth="1"/>
    <col min="2300" max="2300" width="12.140625" style="93" customWidth="1"/>
    <col min="2301" max="2548" width="9.140625" style="93"/>
    <col min="2549" max="2549" width="6.85546875" style="93" customWidth="1"/>
    <col min="2550" max="2550" width="11.28515625" style="93" customWidth="1"/>
    <col min="2551" max="2551" width="43" style="93" customWidth="1"/>
    <col min="2552" max="2552" width="38.5703125" style="93" customWidth="1"/>
    <col min="2553" max="2553" width="13" style="93" customWidth="1"/>
    <col min="2554" max="2554" width="13.5703125" style="93" customWidth="1"/>
    <col min="2555" max="2555" width="8" style="93" customWidth="1"/>
    <col min="2556" max="2556" width="12.140625" style="93" customWidth="1"/>
    <col min="2557" max="2804" width="9.140625" style="93"/>
    <col min="2805" max="2805" width="6.85546875" style="93" customWidth="1"/>
    <col min="2806" max="2806" width="11.28515625" style="93" customWidth="1"/>
    <col min="2807" max="2807" width="43" style="93" customWidth="1"/>
    <col min="2808" max="2808" width="38.5703125" style="93" customWidth="1"/>
    <col min="2809" max="2809" width="13" style="93" customWidth="1"/>
    <col min="2810" max="2810" width="13.5703125" style="93" customWidth="1"/>
    <col min="2811" max="2811" width="8" style="93" customWidth="1"/>
    <col min="2812" max="2812" width="12.140625" style="93" customWidth="1"/>
    <col min="2813" max="3060" width="9.140625" style="93"/>
    <col min="3061" max="3061" width="6.85546875" style="93" customWidth="1"/>
    <col min="3062" max="3062" width="11.28515625" style="93" customWidth="1"/>
    <col min="3063" max="3063" width="43" style="93" customWidth="1"/>
    <col min="3064" max="3064" width="38.5703125" style="93" customWidth="1"/>
    <col min="3065" max="3065" width="13" style="93" customWidth="1"/>
    <col min="3066" max="3066" width="13.5703125" style="93" customWidth="1"/>
    <col min="3067" max="3067" width="8" style="93" customWidth="1"/>
    <col min="3068" max="3068" width="12.140625" style="93" customWidth="1"/>
    <col min="3069" max="3316" width="9.140625" style="93"/>
    <col min="3317" max="3317" width="6.85546875" style="93" customWidth="1"/>
    <col min="3318" max="3318" width="11.28515625" style="93" customWidth="1"/>
    <col min="3319" max="3319" width="43" style="93" customWidth="1"/>
    <col min="3320" max="3320" width="38.5703125" style="93" customWidth="1"/>
    <col min="3321" max="3321" width="13" style="93" customWidth="1"/>
    <col min="3322" max="3322" width="13.5703125" style="93" customWidth="1"/>
    <col min="3323" max="3323" width="8" style="93" customWidth="1"/>
    <col min="3324" max="3324" width="12.140625" style="93" customWidth="1"/>
    <col min="3325" max="3572" width="9.140625" style="93"/>
    <col min="3573" max="3573" width="6.85546875" style="93" customWidth="1"/>
    <col min="3574" max="3574" width="11.28515625" style="93" customWidth="1"/>
    <col min="3575" max="3575" width="43" style="93" customWidth="1"/>
    <col min="3576" max="3576" width="38.5703125" style="93" customWidth="1"/>
    <col min="3577" max="3577" width="13" style="93" customWidth="1"/>
    <col min="3578" max="3578" width="13.5703125" style="93" customWidth="1"/>
    <col min="3579" max="3579" width="8" style="93" customWidth="1"/>
    <col min="3580" max="3580" width="12.140625" style="93" customWidth="1"/>
    <col min="3581" max="3828" width="9.140625" style="93"/>
    <col min="3829" max="3829" width="6.85546875" style="93" customWidth="1"/>
    <col min="3830" max="3830" width="11.28515625" style="93" customWidth="1"/>
    <col min="3831" max="3831" width="43" style="93" customWidth="1"/>
    <col min="3832" max="3832" width="38.5703125" style="93" customWidth="1"/>
    <col min="3833" max="3833" width="13" style="93" customWidth="1"/>
    <col min="3834" max="3834" width="13.5703125" style="93" customWidth="1"/>
    <col min="3835" max="3835" width="8" style="93" customWidth="1"/>
    <col min="3836" max="3836" width="12.140625" style="93" customWidth="1"/>
    <col min="3837" max="4084" width="9.140625" style="93"/>
    <col min="4085" max="4085" width="6.85546875" style="93" customWidth="1"/>
    <col min="4086" max="4086" width="11.28515625" style="93" customWidth="1"/>
    <col min="4087" max="4087" width="43" style="93" customWidth="1"/>
    <col min="4088" max="4088" width="38.5703125" style="93" customWidth="1"/>
    <col min="4089" max="4089" width="13" style="93" customWidth="1"/>
    <col min="4090" max="4090" width="13.5703125" style="93" customWidth="1"/>
    <col min="4091" max="4091" width="8" style="93" customWidth="1"/>
    <col min="4092" max="4092" width="12.140625" style="93" customWidth="1"/>
    <col min="4093" max="4340" width="9.140625" style="93"/>
    <col min="4341" max="4341" width="6.85546875" style="93" customWidth="1"/>
    <col min="4342" max="4342" width="11.28515625" style="93" customWidth="1"/>
    <col min="4343" max="4343" width="43" style="93" customWidth="1"/>
    <col min="4344" max="4344" width="38.5703125" style="93" customWidth="1"/>
    <col min="4345" max="4345" width="13" style="93" customWidth="1"/>
    <col min="4346" max="4346" width="13.5703125" style="93" customWidth="1"/>
    <col min="4347" max="4347" width="8" style="93" customWidth="1"/>
    <col min="4348" max="4348" width="12.140625" style="93" customWidth="1"/>
    <col min="4349" max="4596" width="9.140625" style="93"/>
    <col min="4597" max="4597" width="6.85546875" style="93" customWidth="1"/>
    <col min="4598" max="4598" width="11.28515625" style="93" customWidth="1"/>
    <col min="4599" max="4599" width="43" style="93" customWidth="1"/>
    <col min="4600" max="4600" width="38.5703125" style="93" customWidth="1"/>
    <col min="4601" max="4601" width="13" style="93" customWidth="1"/>
    <col min="4602" max="4602" width="13.5703125" style="93" customWidth="1"/>
    <col min="4603" max="4603" width="8" style="93" customWidth="1"/>
    <col min="4604" max="4604" width="12.140625" style="93" customWidth="1"/>
    <col min="4605" max="4852" width="9.140625" style="93"/>
    <col min="4853" max="4853" width="6.85546875" style="93" customWidth="1"/>
    <col min="4854" max="4854" width="11.28515625" style="93" customWidth="1"/>
    <col min="4855" max="4855" width="43" style="93" customWidth="1"/>
    <col min="4856" max="4856" width="38.5703125" style="93" customWidth="1"/>
    <col min="4857" max="4857" width="13" style="93" customWidth="1"/>
    <col min="4858" max="4858" width="13.5703125" style="93" customWidth="1"/>
    <col min="4859" max="4859" width="8" style="93" customWidth="1"/>
    <col min="4860" max="4860" width="12.140625" style="93" customWidth="1"/>
    <col min="4861" max="5108" width="9.140625" style="93"/>
    <col min="5109" max="5109" width="6.85546875" style="93" customWidth="1"/>
    <col min="5110" max="5110" width="11.28515625" style="93" customWidth="1"/>
    <col min="5111" max="5111" width="43" style="93" customWidth="1"/>
    <col min="5112" max="5112" width="38.5703125" style="93" customWidth="1"/>
    <col min="5113" max="5113" width="13" style="93" customWidth="1"/>
    <col min="5114" max="5114" width="13.5703125" style="93" customWidth="1"/>
    <col min="5115" max="5115" width="8" style="93" customWidth="1"/>
    <col min="5116" max="5116" width="12.140625" style="93" customWidth="1"/>
    <col min="5117" max="5364" width="9.140625" style="93"/>
    <col min="5365" max="5365" width="6.85546875" style="93" customWidth="1"/>
    <col min="5366" max="5366" width="11.28515625" style="93" customWidth="1"/>
    <col min="5367" max="5367" width="43" style="93" customWidth="1"/>
    <col min="5368" max="5368" width="38.5703125" style="93" customWidth="1"/>
    <col min="5369" max="5369" width="13" style="93" customWidth="1"/>
    <col min="5370" max="5370" width="13.5703125" style="93" customWidth="1"/>
    <col min="5371" max="5371" width="8" style="93" customWidth="1"/>
    <col min="5372" max="5372" width="12.140625" style="93" customWidth="1"/>
    <col min="5373" max="5620" width="9.140625" style="93"/>
    <col min="5621" max="5621" width="6.85546875" style="93" customWidth="1"/>
    <col min="5622" max="5622" width="11.28515625" style="93" customWidth="1"/>
    <col min="5623" max="5623" width="43" style="93" customWidth="1"/>
    <col min="5624" max="5624" width="38.5703125" style="93" customWidth="1"/>
    <col min="5625" max="5625" width="13" style="93" customWidth="1"/>
    <col min="5626" max="5626" width="13.5703125" style="93" customWidth="1"/>
    <col min="5627" max="5627" width="8" style="93" customWidth="1"/>
    <col min="5628" max="5628" width="12.140625" style="93" customWidth="1"/>
    <col min="5629" max="5876" width="9.140625" style="93"/>
    <col min="5877" max="5877" width="6.85546875" style="93" customWidth="1"/>
    <col min="5878" max="5878" width="11.28515625" style="93" customWidth="1"/>
    <col min="5879" max="5879" width="43" style="93" customWidth="1"/>
    <col min="5880" max="5880" width="38.5703125" style="93" customWidth="1"/>
    <col min="5881" max="5881" width="13" style="93" customWidth="1"/>
    <col min="5882" max="5882" width="13.5703125" style="93" customWidth="1"/>
    <col min="5883" max="5883" width="8" style="93" customWidth="1"/>
    <col min="5884" max="5884" width="12.140625" style="93" customWidth="1"/>
    <col min="5885" max="6132" width="9.140625" style="93"/>
    <col min="6133" max="6133" width="6.85546875" style="93" customWidth="1"/>
    <col min="6134" max="6134" width="11.28515625" style="93" customWidth="1"/>
    <col min="6135" max="6135" width="43" style="93" customWidth="1"/>
    <col min="6136" max="6136" width="38.5703125" style="93" customWidth="1"/>
    <col min="6137" max="6137" width="13" style="93" customWidth="1"/>
    <col min="6138" max="6138" width="13.5703125" style="93" customWidth="1"/>
    <col min="6139" max="6139" width="8" style="93" customWidth="1"/>
    <col min="6140" max="6140" width="12.140625" style="93" customWidth="1"/>
    <col min="6141" max="6388" width="9.140625" style="93"/>
    <col min="6389" max="6389" width="6.85546875" style="93" customWidth="1"/>
    <col min="6390" max="6390" width="11.28515625" style="93" customWidth="1"/>
    <col min="6391" max="6391" width="43" style="93" customWidth="1"/>
    <col min="6392" max="6392" width="38.5703125" style="93" customWidth="1"/>
    <col min="6393" max="6393" width="13" style="93" customWidth="1"/>
    <col min="6394" max="6394" width="13.5703125" style="93" customWidth="1"/>
    <col min="6395" max="6395" width="8" style="93" customWidth="1"/>
    <col min="6396" max="6396" width="12.140625" style="93" customWidth="1"/>
    <col min="6397" max="6644" width="9.140625" style="93"/>
    <col min="6645" max="6645" width="6.85546875" style="93" customWidth="1"/>
    <col min="6646" max="6646" width="11.28515625" style="93" customWidth="1"/>
    <col min="6647" max="6647" width="43" style="93" customWidth="1"/>
    <col min="6648" max="6648" width="38.5703125" style="93" customWidth="1"/>
    <col min="6649" max="6649" width="13" style="93" customWidth="1"/>
    <col min="6650" max="6650" width="13.5703125" style="93" customWidth="1"/>
    <col min="6651" max="6651" width="8" style="93" customWidth="1"/>
    <col min="6652" max="6652" width="12.140625" style="93" customWidth="1"/>
    <col min="6653" max="6900" width="9.140625" style="93"/>
    <col min="6901" max="6901" width="6.85546875" style="93" customWidth="1"/>
    <col min="6902" max="6902" width="11.28515625" style="93" customWidth="1"/>
    <col min="6903" max="6903" width="43" style="93" customWidth="1"/>
    <col min="6904" max="6904" width="38.5703125" style="93" customWidth="1"/>
    <col min="6905" max="6905" width="13" style="93" customWidth="1"/>
    <col min="6906" max="6906" width="13.5703125" style="93" customWidth="1"/>
    <col min="6907" max="6907" width="8" style="93" customWidth="1"/>
    <col min="6908" max="6908" width="12.140625" style="93" customWidth="1"/>
    <col min="6909" max="7156" width="9.140625" style="93"/>
    <col min="7157" max="7157" width="6.85546875" style="93" customWidth="1"/>
    <col min="7158" max="7158" width="11.28515625" style="93" customWidth="1"/>
    <col min="7159" max="7159" width="43" style="93" customWidth="1"/>
    <col min="7160" max="7160" width="38.5703125" style="93" customWidth="1"/>
    <col min="7161" max="7161" width="13" style="93" customWidth="1"/>
    <col min="7162" max="7162" width="13.5703125" style="93" customWidth="1"/>
    <col min="7163" max="7163" width="8" style="93" customWidth="1"/>
    <col min="7164" max="7164" width="12.140625" style="93" customWidth="1"/>
    <col min="7165" max="7412" width="9.140625" style="93"/>
    <col min="7413" max="7413" width="6.85546875" style="93" customWidth="1"/>
    <col min="7414" max="7414" width="11.28515625" style="93" customWidth="1"/>
    <col min="7415" max="7415" width="43" style="93" customWidth="1"/>
    <col min="7416" max="7416" width="38.5703125" style="93" customWidth="1"/>
    <col min="7417" max="7417" width="13" style="93" customWidth="1"/>
    <col min="7418" max="7418" width="13.5703125" style="93" customWidth="1"/>
    <col min="7419" max="7419" width="8" style="93" customWidth="1"/>
    <col min="7420" max="7420" width="12.140625" style="93" customWidth="1"/>
    <col min="7421" max="7668" width="9.140625" style="93"/>
    <col min="7669" max="7669" width="6.85546875" style="93" customWidth="1"/>
    <col min="7670" max="7670" width="11.28515625" style="93" customWidth="1"/>
    <col min="7671" max="7671" width="43" style="93" customWidth="1"/>
    <col min="7672" max="7672" width="38.5703125" style="93" customWidth="1"/>
    <col min="7673" max="7673" width="13" style="93" customWidth="1"/>
    <col min="7674" max="7674" width="13.5703125" style="93" customWidth="1"/>
    <col min="7675" max="7675" width="8" style="93" customWidth="1"/>
    <col min="7676" max="7676" width="12.140625" style="93" customWidth="1"/>
    <col min="7677" max="7924" width="9.140625" style="93"/>
    <col min="7925" max="7925" width="6.85546875" style="93" customWidth="1"/>
    <col min="7926" max="7926" width="11.28515625" style="93" customWidth="1"/>
    <col min="7927" max="7927" width="43" style="93" customWidth="1"/>
    <col min="7928" max="7928" width="38.5703125" style="93" customWidth="1"/>
    <col min="7929" max="7929" width="13" style="93" customWidth="1"/>
    <col min="7930" max="7930" width="13.5703125" style="93" customWidth="1"/>
    <col min="7931" max="7931" width="8" style="93" customWidth="1"/>
    <col min="7932" max="7932" width="12.140625" style="93" customWidth="1"/>
    <col min="7933" max="8180" width="9.140625" style="93"/>
    <col min="8181" max="8181" width="6.85546875" style="93" customWidth="1"/>
    <col min="8182" max="8182" width="11.28515625" style="93" customWidth="1"/>
    <col min="8183" max="8183" width="43" style="93" customWidth="1"/>
    <col min="8184" max="8184" width="38.5703125" style="93" customWidth="1"/>
    <col min="8185" max="8185" width="13" style="93" customWidth="1"/>
    <col min="8186" max="8186" width="13.5703125" style="93" customWidth="1"/>
    <col min="8187" max="8187" width="8" style="93" customWidth="1"/>
    <col min="8188" max="8188" width="12.140625" style="93" customWidth="1"/>
    <col min="8189" max="8436" width="9.140625" style="93"/>
    <col min="8437" max="8437" width="6.85546875" style="93" customWidth="1"/>
    <col min="8438" max="8438" width="11.28515625" style="93" customWidth="1"/>
    <col min="8439" max="8439" width="43" style="93" customWidth="1"/>
    <col min="8440" max="8440" width="38.5703125" style="93" customWidth="1"/>
    <col min="8441" max="8441" width="13" style="93" customWidth="1"/>
    <col min="8442" max="8442" width="13.5703125" style="93" customWidth="1"/>
    <col min="8443" max="8443" width="8" style="93" customWidth="1"/>
    <col min="8444" max="8444" width="12.140625" style="93" customWidth="1"/>
    <col min="8445" max="8692" width="9.140625" style="93"/>
    <col min="8693" max="8693" width="6.85546875" style="93" customWidth="1"/>
    <col min="8694" max="8694" width="11.28515625" style="93" customWidth="1"/>
    <col min="8695" max="8695" width="43" style="93" customWidth="1"/>
    <col min="8696" max="8696" width="38.5703125" style="93" customWidth="1"/>
    <col min="8697" max="8697" width="13" style="93" customWidth="1"/>
    <col min="8698" max="8698" width="13.5703125" style="93" customWidth="1"/>
    <col min="8699" max="8699" width="8" style="93" customWidth="1"/>
    <col min="8700" max="8700" width="12.140625" style="93" customWidth="1"/>
    <col min="8701" max="8948" width="9.140625" style="93"/>
    <col min="8949" max="8949" width="6.85546875" style="93" customWidth="1"/>
    <col min="8950" max="8950" width="11.28515625" style="93" customWidth="1"/>
    <col min="8951" max="8951" width="43" style="93" customWidth="1"/>
    <col min="8952" max="8952" width="38.5703125" style="93" customWidth="1"/>
    <col min="8953" max="8953" width="13" style="93" customWidth="1"/>
    <col min="8954" max="8954" width="13.5703125" style="93" customWidth="1"/>
    <col min="8955" max="8955" width="8" style="93" customWidth="1"/>
    <col min="8956" max="8956" width="12.140625" style="93" customWidth="1"/>
    <col min="8957" max="9204" width="9.140625" style="93"/>
    <col min="9205" max="9205" width="6.85546875" style="93" customWidth="1"/>
    <col min="9206" max="9206" width="11.28515625" style="93" customWidth="1"/>
    <col min="9207" max="9207" width="43" style="93" customWidth="1"/>
    <col min="9208" max="9208" width="38.5703125" style="93" customWidth="1"/>
    <col min="9209" max="9209" width="13" style="93" customWidth="1"/>
    <col min="9210" max="9210" width="13.5703125" style="93" customWidth="1"/>
    <col min="9211" max="9211" width="8" style="93" customWidth="1"/>
    <col min="9212" max="9212" width="12.140625" style="93" customWidth="1"/>
    <col min="9213" max="9460" width="9.140625" style="93"/>
    <col min="9461" max="9461" width="6.85546875" style="93" customWidth="1"/>
    <col min="9462" max="9462" width="11.28515625" style="93" customWidth="1"/>
    <col min="9463" max="9463" width="43" style="93" customWidth="1"/>
    <col min="9464" max="9464" width="38.5703125" style="93" customWidth="1"/>
    <col min="9465" max="9465" width="13" style="93" customWidth="1"/>
    <col min="9466" max="9466" width="13.5703125" style="93" customWidth="1"/>
    <col min="9467" max="9467" width="8" style="93" customWidth="1"/>
    <col min="9468" max="9468" width="12.140625" style="93" customWidth="1"/>
    <col min="9469" max="9716" width="9.140625" style="93"/>
    <col min="9717" max="9717" width="6.85546875" style="93" customWidth="1"/>
    <col min="9718" max="9718" width="11.28515625" style="93" customWidth="1"/>
    <col min="9719" max="9719" width="43" style="93" customWidth="1"/>
    <col min="9720" max="9720" width="38.5703125" style="93" customWidth="1"/>
    <col min="9721" max="9721" width="13" style="93" customWidth="1"/>
    <col min="9722" max="9722" width="13.5703125" style="93" customWidth="1"/>
    <col min="9723" max="9723" width="8" style="93" customWidth="1"/>
    <col min="9724" max="9724" width="12.140625" style="93" customWidth="1"/>
    <col min="9725" max="9972" width="9.140625" style="93"/>
    <col min="9973" max="9973" width="6.85546875" style="93" customWidth="1"/>
    <col min="9974" max="9974" width="11.28515625" style="93" customWidth="1"/>
    <col min="9975" max="9975" width="43" style="93" customWidth="1"/>
    <col min="9976" max="9976" width="38.5703125" style="93" customWidth="1"/>
    <col min="9977" max="9977" width="13" style="93" customWidth="1"/>
    <col min="9978" max="9978" width="13.5703125" style="93" customWidth="1"/>
    <col min="9979" max="9979" width="8" style="93" customWidth="1"/>
    <col min="9980" max="9980" width="12.140625" style="93" customWidth="1"/>
    <col min="9981" max="10228" width="9.140625" style="93"/>
    <col min="10229" max="10229" width="6.85546875" style="93" customWidth="1"/>
    <col min="10230" max="10230" width="11.28515625" style="93" customWidth="1"/>
    <col min="10231" max="10231" width="43" style="93" customWidth="1"/>
    <col min="10232" max="10232" width="38.5703125" style="93" customWidth="1"/>
    <col min="10233" max="10233" width="13" style="93" customWidth="1"/>
    <col min="10234" max="10234" width="13.5703125" style="93" customWidth="1"/>
    <col min="10235" max="10235" width="8" style="93" customWidth="1"/>
    <col min="10236" max="10236" width="12.140625" style="93" customWidth="1"/>
    <col min="10237" max="10484" width="9.140625" style="93"/>
    <col min="10485" max="10485" width="6.85546875" style="93" customWidth="1"/>
    <col min="10486" max="10486" width="11.28515625" style="93" customWidth="1"/>
    <col min="10487" max="10487" width="43" style="93" customWidth="1"/>
    <col min="10488" max="10488" width="38.5703125" style="93" customWidth="1"/>
    <col min="10489" max="10489" width="13" style="93" customWidth="1"/>
    <col min="10490" max="10490" width="13.5703125" style="93" customWidth="1"/>
    <col min="10491" max="10491" width="8" style="93" customWidth="1"/>
    <col min="10492" max="10492" width="12.140625" style="93" customWidth="1"/>
    <col min="10493" max="10740" width="9.140625" style="93"/>
    <col min="10741" max="10741" width="6.85546875" style="93" customWidth="1"/>
    <col min="10742" max="10742" width="11.28515625" style="93" customWidth="1"/>
    <col min="10743" max="10743" width="43" style="93" customWidth="1"/>
    <col min="10744" max="10744" width="38.5703125" style="93" customWidth="1"/>
    <col min="10745" max="10745" width="13" style="93" customWidth="1"/>
    <col min="10746" max="10746" width="13.5703125" style="93" customWidth="1"/>
    <col min="10747" max="10747" width="8" style="93" customWidth="1"/>
    <col min="10748" max="10748" width="12.140625" style="93" customWidth="1"/>
    <col min="10749" max="10996" width="9.140625" style="93"/>
    <col min="10997" max="10997" width="6.85546875" style="93" customWidth="1"/>
    <col min="10998" max="10998" width="11.28515625" style="93" customWidth="1"/>
    <col min="10999" max="10999" width="43" style="93" customWidth="1"/>
    <col min="11000" max="11000" width="38.5703125" style="93" customWidth="1"/>
    <col min="11001" max="11001" width="13" style="93" customWidth="1"/>
    <col min="11002" max="11002" width="13.5703125" style="93" customWidth="1"/>
    <col min="11003" max="11003" width="8" style="93" customWidth="1"/>
    <col min="11004" max="11004" width="12.140625" style="93" customWidth="1"/>
    <col min="11005" max="11252" width="9.140625" style="93"/>
    <col min="11253" max="11253" width="6.85546875" style="93" customWidth="1"/>
    <col min="11254" max="11254" width="11.28515625" style="93" customWidth="1"/>
    <col min="11255" max="11255" width="43" style="93" customWidth="1"/>
    <col min="11256" max="11256" width="38.5703125" style="93" customWidth="1"/>
    <col min="11257" max="11257" width="13" style="93" customWidth="1"/>
    <col min="11258" max="11258" width="13.5703125" style="93" customWidth="1"/>
    <col min="11259" max="11259" width="8" style="93" customWidth="1"/>
    <col min="11260" max="11260" width="12.140625" style="93" customWidth="1"/>
    <col min="11261" max="11508" width="9.140625" style="93"/>
    <col min="11509" max="11509" width="6.85546875" style="93" customWidth="1"/>
    <col min="11510" max="11510" width="11.28515625" style="93" customWidth="1"/>
    <col min="11511" max="11511" width="43" style="93" customWidth="1"/>
    <col min="11512" max="11512" width="38.5703125" style="93" customWidth="1"/>
    <col min="11513" max="11513" width="13" style="93" customWidth="1"/>
    <col min="11514" max="11514" width="13.5703125" style="93" customWidth="1"/>
    <col min="11515" max="11515" width="8" style="93" customWidth="1"/>
    <col min="11516" max="11516" width="12.140625" style="93" customWidth="1"/>
    <col min="11517" max="11764" width="9.140625" style="93"/>
    <col min="11765" max="11765" width="6.85546875" style="93" customWidth="1"/>
    <col min="11766" max="11766" width="11.28515625" style="93" customWidth="1"/>
    <col min="11767" max="11767" width="43" style="93" customWidth="1"/>
    <col min="11768" max="11768" width="38.5703125" style="93" customWidth="1"/>
    <col min="11769" max="11769" width="13" style="93" customWidth="1"/>
    <col min="11770" max="11770" width="13.5703125" style="93" customWidth="1"/>
    <col min="11771" max="11771" width="8" style="93" customWidth="1"/>
    <col min="11772" max="11772" width="12.140625" style="93" customWidth="1"/>
    <col min="11773" max="12020" width="9.140625" style="93"/>
    <col min="12021" max="12021" width="6.85546875" style="93" customWidth="1"/>
    <col min="12022" max="12022" width="11.28515625" style="93" customWidth="1"/>
    <col min="12023" max="12023" width="43" style="93" customWidth="1"/>
    <col min="12024" max="12024" width="38.5703125" style="93" customWidth="1"/>
    <col min="12025" max="12025" width="13" style="93" customWidth="1"/>
    <col min="12026" max="12026" width="13.5703125" style="93" customWidth="1"/>
    <col min="12027" max="12027" width="8" style="93" customWidth="1"/>
    <col min="12028" max="12028" width="12.140625" style="93" customWidth="1"/>
    <col min="12029" max="12276" width="9.140625" style="93"/>
    <col min="12277" max="12277" width="6.85546875" style="93" customWidth="1"/>
    <col min="12278" max="12278" width="11.28515625" style="93" customWidth="1"/>
    <col min="12279" max="12279" width="43" style="93" customWidth="1"/>
    <col min="12280" max="12280" width="38.5703125" style="93" customWidth="1"/>
    <col min="12281" max="12281" width="13" style="93" customWidth="1"/>
    <col min="12282" max="12282" width="13.5703125" style="93" customWidth="1"/>
    <col min="12283" max="12283" width="8" style="93" customWidth="1"/>
    <col min="12284" max="12284" width="12.140625" style="93" customWidth="1"/>
    <col min="12285" max="12532" width="9.140625" style="93"/>
    <col min="12533" max="12533" width="6.85546875" style="93" customWidth="1"/>
    <col min="12534" max="12534" width="11.28515625" style="93" customWidth="1"/>
    <col min="12535" max="12535" width="43" style="93" customWidth="1"/>
    <col min="12536" max="12536" width="38.5703125" style="93" customWidth="1"/>
    <col min="12537" max="12537" width="13" style="93" customWidth="1"/>
    <col min="12538" max="12538" width="13.5703125" style="93" customWidth="1"/>
    <col min="12539" max="12539" width="8" style="93" customWidth="1"/>
    <col min="12540" max="12540" width="12.140625" style="93" customWidth="1"/>
    <col min="12541" max="12788" width="9.140625" style="93"/>
    <col min="12789" max="12789" width="6.85546875" style="93" customWidth="1"/>
    <col min="12790" max="12790" width="11.28515625" style="93" customWidth="1"/>
    <col min="12791" max="12791" width="43" style="93" customWidth="1"/>
    <col min="12792" max="12792" width="38.5703125" style="93" customWidth="1"/>
    <col min="12793" max="12793" width="13" style="93" customWidth="1"/>
    <col min="12794" max="12794" width="13.5703125" style="93" customWidth="1"/>
    <col min="12795" max="12795" width="8" style="93" customWidth="1"/>
    <col min="12796" max="12796" width="12.140625" style="93" customWidth="1"/>
    <col min="12797" max="13044" width="9.140625" style="93"/>
    <col min="13045" max="13045" width="6.85546875" style="93" customWidth="1"/>
    <col min="13046" max="13046" width="11.28515625" style="93" customWidth="1"/>
    <col min="13047" max="13047" width="43" style="93" customWidth="1"/>
    <col min="13048" max="13048" width="38.5703125" style="93" customWidth="1"/>
    <col min="13049" max="13049" width="13" style="93" customWidth="1"/>
    <col min="13050" max="13050" width="13.5703125" style="93" customWidth="1"/>
    <col min="13051" max="13051" width="8" style="93" customWidth="1"/>
    <col min="13052" max="13052" width="12.140625" style="93" customWidth="1"/>
    <col min="13053" max="13300" width="9.140625" style="93"/>
    <col min="13301" max="13301" width="6.85546875" style="93" customWidth="1"/>
    <col min="13302" max="13302" width="11.28515625" style="93" customWidth="1"/>
    <col min="13303" max="13303" width="43" style="93" customWidth="1"/>
    <col min="13304" max="13304" width="38.5703125" style="93" customWidth="1"/>
    <col min="13305" max="13305" width="13" style="93" customWidth="1"/>
    <col min="13306" max="13306" width="13.5703125" style="93" customWidth="1"/>
    <col min="13307" max="13307" width="8" style="93" customWidth="1"/>
    <col min="13308" max="13308" width="12.140625" style="93" customWidth="1"/>
    <col min="13309" max="13556" width="9.140625" style="93"/>
    <col min="13557" max="13557" width="6.85546875" style="93" customWidth="1"/>
    <col min="13558" max="13558" width="11.28515625" style="93" customWidth="1"/>
    <col min="13559" max="13559" width="43" style="93" customWidth="1"/>
    <col min="13560" max="13560" width="38.5703125" style="93" customWidth="1"/>
    <col min="13561" max="13561" width="13" style="93" customWidth="1"/>
    <col min="13562" max="13562" width="13.5703125" style="93" customWidth="1"/>
    <col min="13563" max="13563" width="8" style="93" customWidth="1"/>
    <col min="13564" max="13564" width="12.140625" style="93" customWidth="1"/>
    <col min="13565" max="13812" width="9.140625" style="93"/>
    <col min="13813" max="13813" width="6.85546875" style="93" customWidth="1"/>
    <col min="13814" max="13814" width="11.28515625" style="93" customWidth="1"/>
    <col min="13815" max="13815" width="43" style="93" customWidth="1"/>
    <col min="13816" max="13816" width="38.5703125" style="93" customWidth="1"/>
    <col min="13817" max="13817" width="13" style="93" customWidth="1"/>
    <col min="13818" max="13818" width="13.5703125" style="93" customWidth="1"/>
    <col min="13819" max="13819" width="8" style="93" customWidth="1"/>
    <col min="13820" max="13820" width="12.140625" style="93" customWidth="1"/>
    <col min="13821" max="14068" width="9.140625" style="93"/>
    <col min="14069" max="14069" width="6.85546875" style="93" customWidth="1"/>
    <col min="14070" max="14070" width="11.28515625" style="93" customWidth="1"/>
    <col min="14071" max="14071" width="43" style="93" customWidth="1"/>
    <col min="14072" max="14072" width="38.5703125" style="93" customWidth="1"/>
    <col min="14073" max="14073" width="13" style="93" customWidth="1"/>
    <col min="14074" max="14074" width="13.5703125" style="93" customWidth="1"/>
    <col min="14075" max="14075" width="8" style="93" customWidth="1"/>
    <col min="14076" max="14076" width="12.140625" style="93" customWidth="1"/>
    <col min="14077" max="14324" width="9.140625" style="93"/>
    <col min="14325" max="14325" width="6.85546875" style="93" customWidth="1"/>
    <col min="14326" max="14326" width="11.28515625" style="93" customWidth="1"/>
    <col min="14327" max="14327" width="43" style="93" customWidth="1"/>
    <col min="14328" max="14328" width="38.5703125" style="93" customWidth="1"/>
    <col min="14329" max="14329" width="13" style="93" customWidth="1"/>
    <col min="14330" max="14330" width="13.5703125" style="93" customWidth="1"/>
    <col min="14331" max="14331" width="8" style="93" customWidth="1"/>
    <col min="14332" max="14332" width="12.140625" style="93" customWidth="1"/>
    <col min="14333" max="14580" width="9.140625" style="93"/>
    <col min="14581" max="14581" width="6.85546875" style="93" customWidth="1"/>
    <col min="14582" max="14582" width="11.28515625" style="93" customWidth="1"/>
    <col min="14583" max="14583" width="43" style="93" customWidth="1"/>
    <col min="14584" max="14584" width="38.5703125" style="93" customWidth="1"/>
    <col min="14585" max="14585" width="13" style="93" customWidth="1"/>
    <col min="14586" max="14586" width="13.5703125" style="93" customWidth="1"/>
    <col min="14587" max="14587" width="8" style="93" customWidth="1"/>
    <col min="14588" max="14588" width="12.140625" style="93" customWidth="1"/>
    <col min="14589" max="14836" width="9.140625" style="93"/>
    <col min="14837" max="14837" width="6.85546875" style="93" customWidth="1"/>
    <col min="14838" max="14838" width="11.28515625" style="93" customWidth="1"/>
    <col min="14839" max="14839" width="43" style="93" customWidth="1"/>
    <col min="14840" max="14840" width="38.5703125" style="93" customWidth="1"/>
    <col min="14841" max="14841" width="13" style="93" customWidth="1"/>
    <col min="14842" max="14842" width="13.5703125" style="93" customWidth="1"/>
    <col min="14843" max="14843" width="8" style="93" customWidth="1"/>
    <col min="14844" max="14844" width="12.140625" style="93" customWidth="1"/>
    <col min="14845" max="15092" width="9.140625" style="93"/>
    <col min="15093" max="15093" width="6.85546875" style="93" customWidth="1"/>
    <col min="15094" max="15094" width="11.28515625" style="93" customWidth="1"/>
    <col min="15095" max="15095" width="43" style="93" customWidth="1"/>
    <col min="15096" max="15096" width="38.5703125" style="93" customWidth="1"/>
    <col min="15097" max="15097" width="13" style="93" customWidth="1"/>
    <col min="15098" max="15098" width="13.5703125" style="93" customWidth="1"/>
    <col min="15099" max="15099" width="8" style="93" customWidth="1"/>
    <col min="15100" max="15100" width="12.140625" style="93" customWidth="1"/>
    <col min="15101" max="15348" width="9.140625" style="93"/>
    <col min="15349" max="15349" width="6.85546875" style="93" customWidth="1"/>
    <col min="15350" max="15350" width="11.28515625" style="93" customWidth="1"/>
    <col min="15351" max="15351" width="43" style="93" customWidth="1"/>
    <col min="15352" max="15352" width="38.5703125" style="93" customWidth="1"/>
    <col min="15353" max="15353" width="13" style="93" customWidth="1"/>
    <col min="15354" max="15354" width="13.5703125" style="93" customWidth="1"/>
    <col min="15355" max="15355" width="8" style="93" customWidth="1"/>
    <col min="15356" max="15356" width="12.140625" style="93" customWidth="1"/>
    <col min="15357" max="15604" width="9.140625" style="93"/>
    <col min="15605" max="15605" width="6.85546875" style="93" customWidth="1"/>
    <col min="15606" max="15606" width="11.28515625" style="93" customWidth="1"/>
    <col min="15607" max="15607" width="43" style="93" customWidth="1"/>
    <col min="15608" max="15608" width="38.5703125" style="93" customWidth="1"/>
    <col min="15609" max="15609" width="13" style="93" customWidth="1"/>
    <col min="15610" max="15610" width="13.5703125" style="93" customWidth="1"/>
    <col min="15611" max="15611" width="8" style="93" customWidth="1"/>
    <col min="15612" max="15612" width="12.140625" style="93" customWidth="1"/>
    <col min="15613" max="15860" width="9.140625" style="93"/>
    <col min="15861" max="15861" width="6.85546875" style="93" customWidth="1"/>
    <col min="15862" max="15862" width="11.28515625" style="93" customWidth="1"/>
    <col min="15863" max="15863" width="43" style="93" customWidth="1"/>
    <col min="15864" max="15864" width="38.5703125" style="93" customWidth="1"/>
    <col min="15865" max="15865" width="13" style="93" customWidth="1"/>
    <col min="15866" max="15866" width="13.5703125" style="93" customWidth="1"/>
    <col min="15867" max="15867" width="8" style="93" customWidth="1"/>
    <col min="15868" max="15868" width="12.140625" style="93" customWidth="1"/>
    <col min="15869" max="16116" width="9.140625" style="93"/>
    <col min="16117" max="16117" width="6.85546875" style="93" customWidth="1"/>
    <col min="16118" max="16118" width="11.28515625" style="93" customWidth="1"/>
    <col min="16119" max="16119" width="43" style="93" customWidth="1"/>
    <col min="16120" max="16120" width="38.5703125" style="93" customWidth="1"/>
    <col min="16121" max="16121" width="13" style="93" customWidth="1"/>
    <col min="16122" max="16122" width="13.5703125" style="93" customWidth="1"/>
    <col min="16123" max="16123" width="8" style="93" customWidth="1"/>
    <col min="16124" max="16124" width="12.140625" style="93" customWidth="1"/>
    <col min="16125" max="16384" width="9.140625" style="93"/>
  </cols>
  <sheetData>
    <row r="1" spans="1:68" ht="26.25" customHeight="1" x14ac:dyDescent="0.3">
      <c r="A1" s="90"/>
      <c r="B1" s="90"/>
      <c r="C1" s="91"/>
      <c r="D1" s="91"/>
      <c r="E1" s="91"/>
      <c r="F1" s="90"/>
    </row>
    <row r="2" spans="1:68" x14ac:dyDescent="0.3">
      <c r="A2" s="90"/>
      <c r="B2" s="90"/>
      <c r="C2" s="91"/>
      <c r="D2" s="91"/>
      <c r="E2" s="91"/>
      <c r="F2" s="90"/>
    </row>
    <row r="3" spans="1:68" s="94" customFormat="1" ht="39.950000000000003" customHeight="1" x14ac:dyDescent="0.3">
      <c r="B3" s="95" t="s">
        <v>48</v>
      </c>
      <c r="C3" s="1" t="s">
        <v>1856</v>
      </c>
      <c r="D3" s="96"/>
      <c r="E3" s="97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</row>
    <row r="4" spans="1:68" s="94" customFormat="1" ht="39.950000000000003" customHeight="1" x14ac:dyDescent="0.3">
      <c r="B4" s="95" t="s">
        <v>43</v>
      </c>
      <c r="C4" s="1" t="s">
        <v>51</v>
      </c>
      <c r="D4" s="97"/>
      <c r="E4" s="97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</row>
    <row r="5" spans="1:68" s="94" customFormat="1" ht="39.950000000000003" customHeight="1" x14ac:dyDescent="0.3">
      <c r="B5" s="156" t="s">
        <v>131</v>
      </c>
      <c r="C5" s="156"/>
      <c r="D5" s="156"/>
      <c r="E5" s="97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</row>
    <row r="6" spans="1:68" s="94" customFormat="1" ht="39.950000000000003" customHeight="1" x14ac:dyDescent="0.3">
      <c r="B6" s="95" t="s">
        <v>58</v>
      </c>
      <c r="C6" s="98"/>
      <c r="D6" s="97"/>
      <c r="E6" s="97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</row>
    <row r="7" spans="1:68" s="94" customFormat="1" x14ac:dyDescent="0.3">
      <c r="C7" s="97"/>
      <c r="D7" s="97"/>
      <c r="E7" s="97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</row>
    <row r="8" spans="1:68" s="92" customFormat="1" x14ac:dyDescent="0.3">
      <c r="A8" s="157" t="s">
        <v>38</v>
      </c>
      <c r="B8" s="158"/>
      <c r="C8" s="158"/>
      <c r="D8" s="158"/>
      <c r="E8" s="158"/>
      <c r="F8" s="159"/>
    </row>
    <row r="9" spans="1:68" s="94" customFormat="1" ht="30.75" customHeight="1" x14ac:dyDescent="0.3">
      <c r="A9" s="99"/>
      <c r="B9" s="163" t="s">
        <v>21</v>
      </c>
      <c r="C9" s="161">
        <f>COUNTIF(I10:AV10,"=1")</f>
        <v>7</v>
      </c>
      <c r="D9" s="98" t="s">
        <v>22</v>
      </c>
      <c r="E9" s="96"/>
      <c r="F9" s="100" t="s">
        <v>20</v>
      </c>
      <c r="G9" s="92"/>
      <c r="H9" s="92"/>
      <c r="I9" s="92">
        <f>IF(INDEX($R13:$R32,MATCH(I11,$A13:$A32,0))=0,INDEX($S13:$S32,MATCH(I11,$A13:$A32,0)),IF(INDEX($V13:$V32,MATCH(I11,$A13:$A32,0))=0,INDEX($W13:$W32,MATCH(I11,$A13:$A32,0)),IF(INDEX($Z13:$Z32,MATCH(I11,$A13:$A32,0))=0,INDEX($AA13:$AA32,MATCH(I11,$A13:$A32,0)),"")))</f>
        <v>1</v>
      </c>
      <c r="J9" s="92">
        <f t="shared" ref="J9:AV9" si="0">IF(INDEX($R13:$R32,MATCH(J11,$A13:$A32,0))=0,INDEX($S13:$S32,MATCH(J11,$A13:$A32,0)),IF(INDEX($V13:$V32,MATCH(J11,$A13:$A32,0))=0,INDEX($W13:$W32,MATCH(J11,$A13:$A32,0)),IF(INDEX($Z13:$Z32,MATCH(J11,$A13:$A32,0))=0,INDEX($AA13:$AA32,MATCH(J11,$A13:$A32,0)),"")))</f>
        <v>1</v>
      </c>
      <c r="K9" s="92">
        <f>IF(INDEX($R13:$R32,MATCH(K11,$A13:$A32,0))=0,INDEX($S13:$S32,MATCH(K11,$A13:$A32,0)),IF(INDEX($V13:$V32,MATCH(K11,$A13:$A32,0))=0,INDEX($W13:$W32,MATCH(K11,$A13:$A32,0)),IF(INDEX($Z13:$Z32,MATCH(K11,$A13:$A32,0))=0,INDEX($AA13:$AA32,MATCH(K11,$A13:$A32,0)),"")))</f>
        <v>1</v>
      </c>
      <c r="L9" s="92">
        <f t="shared" si="0"/>
        <v>1</v>
      </c>
      <c r="M9" s="92">
        <f t="shared" si="0"/>
        <v>1</v>
      </c>
      <c r="N9" s="92">
        <f t="shared" si="0"/>
        <v>1</v>
      </c>
      <c r="O9" s="92">
        <f t="shared" si="0"/>
        <v>1</v>
      </c>
      <c r="P9" s="92">
        <f t="shared" si="0"/>
        <v>1</v>
      </c>
      <c r="Q9" s="92">
        <f t="shared" si="0"/>
        <v>1</v>
      </c>
      <c r="R9" s="92" t="e">
        <f t="shared" si="0"/>
        <v>#N/A</v>
      </c>
      <c r="S9" s="92" t="e">
        <f t="shared" si="0"/>
        <v>#N/A</v>
      </c>
      <c r="T9" s="92" t="e">
        <f t="shared" si="0"/>
        <v>#N/A</v>
      </c>
      <c r="U9" s="92" t="e">
        <f t="shared" si="0"/>
        <v>#N/A</v>
      </c>
      <c r="V9" s="92" t="e">
        <f t="shared" si="0"/>
        <v>#N/A</v>
      </c>
      <c r="W9" s="92" t="e">
        <f t="shared" si="0"/>
        <v>#N/A</v>
      </c>
      <c r="X9" s="92" t="e">
        <f t="shared" si="0"/>
        <v>#N/A</v>
      </c>
      <c r="Y9" s="92" t="e">
        <f t="shared" si="0"/>
        <v>#N/A</v>
      </c>
      <c r="Z9" s="92" t="e">
        <f t="shared" si="0"/>
        <v>#N/A</v>
      </c>
      <c r="AA9" s="92" t="e">
        <f t="shared" si="0"/>
        <v>#N/A</v>
      </c>
      <c r="AB9" s="92" t="e">
        <f t="shared" si="0"/>
        <v>#N/A</v>
      </c>
      <c r="AC9" s="92" t="e">
        <f t="shared" si="0"/>
        <v>#N/A</v>
      </c>
      <c r="AD9" s="92" t="e">
        <f t="shared" si="0"/>
        <v>#N/A</v>
      </c>
      <c r="AE9" s="92" t="e">
        <f t="shared" si="0"/>
        <v>#N/A</v>
      </c>
      <c r="AF9" s="92" t="e">
        <f t="shared" si="0"/>
        <v>#N/A</v>
      </c>
      <c r="AG9" s="92" t="e">
        <f t="shared" si="0"/>
        <v>#N/A</v>
      </c>
      <c r="AH9" s="92" t="e">
        <f t="shared" si="0"/>
        <v>#N/A</v>
      </c>
      <c r="AI9" s="92" t="e">
        <f t="shared" si="0"/>
        <v>#N/A</v>
      </c>
      <c r="AJ9" s="92" t="e">
        <f t="shared" si="0"/>
        <v>#N/A</v>
      </c>
      <c r="AK9" s="92" t="e">
        <f t="shared" si="0"/>
        <v>#N/A</v>
      </c>
      <c r="AL9" s="92" t="e">
        <f t="shared" si="0"/>
        <v>#N/A</v>
      </c>
      <c r="AM9" s="92" t="e">
        <f t="shared" si="0"/>
        <v>#N/A</v>
      </c>
      <c r="AN9" s="92" t="e">
        <f t="shared" si="0"/>
        <v>#N/A</v>
      </c>
      <c r="AO9" s="92" t="e">
        <f t="shared" si="0"/>
        <v>#N/A</v>
      </c>
      <c r="AP9" s="92" t="e">
        <f t="shared" si="0"/>
        <v>#N/A</v>
      </c>
      <c r="AQ9" s="92" t="e">
        <f t="shared" si="0"/>
        <v>#N/A</v>
      </c>
      <c r="AR9" s="92" t="e">
        <f t="shared" si="0"/>
        <v>#N/A</v>
      </c>
      <c r="AS9" s="92" t="e">
        <f t="shared" si="0"/>
        <v>#N/A</v>
      </c>
      <c r="AT9" s="92" t="e">
        <f t="shared" si="0"/>
        <v>#N/A</v>
      </c>
      <c r="AU9" s="92" t="e">
        <f t="shared" si="0"/>
        <v>#N/A</v>
      </c>
      <c r="AV9" s="92" t="e">
        <f t="shared" si="0"/>
        <v>#N/A</v>
      </c>
      <c r="AW9" s="92"/>
      <c r="AX9" s="92"/>
      <c r="AY9" s="92"/>
      <c r="AZ9" s="92"/>
      <c r="BA9" s="92"/>
      <c r="BB9" s="92"/>
    </row>
    <row r="10" spans="1:68" s="94" customFormat="1" x14ac:dyDescent="0.3">
      <c r="A10" s="99"/>
      <c r="B10" s="163"/>
      <c r="C10" s="162"/>
      <c r="D10" s="96">
        <f>B33+C33+D33+E33</f>
        <v>13</v>
      </c>
      <c r="E10" s="96"/>
      <c r="F10" s="101">
        <f>COUNTIF(I10:AV10,"&lt;3")+G33</f>
        <v>9</v>
      </c>
      <c r="G10" s="92"/>
      <c r="H10" s="92"/>
      <c r="I10" s="92">
        <f t="array" ref="I10">IFERROR(INDEX($M$1:$O$32,SMALL(IF($M$13:$O$32&gt;0,ROW($M$13:$O$32)),COLUMN(A1)),MOD(SMALL(IF($M$13:$O$32&gt;0,ROW($M$13:$O$32)+(COLUMN($M$13:$O$32)-12)%),COLUMN(A1)),1)/1%),"")</f>
        <v>1</v>
      </c>
      <c r="J10" s="92">
        <f t="array" ref="J10">IFERROR(INDEX($M$1:$O$32,SMALL(IF($M$13:$O$32&gt;0,ROW($M$13:$O$32)),COLUMN(B1)),MOD(SMALL(IF($M$13:$O$32&gt;0,ROW($M$13:$O$32)+(COLUMN($M$13:$O$32)-12)%),COLUMN(B1)),1)/1%),"")</f>
        <v>1</v>
      </c>
      <c r="K10" s="92">
        <f t="array" ref="K10">IFERROR(INDEX($M$1:$O$32,SMALL(IF($M$13:$O$32&gt;0,ROW($M$13:$O$32)),COLUMN(C1)),MOD(SMALL(IF($M$13:$O$32&gt;0,ROW($M$13:$O$32)+(COLUMN($M$13:$O$32)-12)%),COLUMN(C1)),1)/1%),"")</f>
        <v>1</v>
      </c>
      <c r="L10" s="92">
        <f t="array" ref="L10">IFERROR(INDEX($M$1:$O$32,SMALL(IF($M$13:$O$32&gt;0,ROW($M$13:$O$32)),COLUMN(D1)),MOD(SMALL(IF($M$13:$O$32&gt;0,ROW($M$13:$O$32)+(COLUMN($M$13:$O$32)-12)%),COLUMN(D1)),1)/1%),"")</f>
        <v>1</v>
      </c>
      <c r="M10" s="92">
        <f t="array" ref="M10">IFERROR(INDEX($M$1:$O$32,SMALL(IF($M$13:$O$32&gt;0,ROW($M$13:$O$32)),COLUMN(E1)),MOD(SMALL(IF($M$13:$O$32&gt;0,ROW($M$13:$O$32)+(COLUMN($M$13:$O$32)-12)%),COLUMN(E1)),1)/1%),"")</f>
        <v>1</v>
      </c>
      <c r="N10" s="92">
        <f t="array" ref="N10">IFERROR(INDEX($M$1:$O$32,SMALL(IF($M$13:$O$32&gt;0,ROW($M$13:$O$32)),COLUMN(F1)),MOD(SMALL(IF($M$13:$O$32&gt;0,ROW($M$13:$O$32)+(COLUMN($M$13:$O$32)-12)%),COLUMN(F1)),1)/1%),"")</f>
        <v>2</v>
      </c>
      <c r="O10" s="92">
        <f t="array" ref="O10">IFERROR(INDEX($M$1:$O$32,SMALL(IF($M$13:$O$32&gt;0,ROW($M$13:$O$32)),COLUMN(G1)),MOD(SMALL(IF($M$13:$O$32&gt;0,ROW($M$13:$O$32)+(COLUMN($M$13:$O$32)-12)%),COLUMN(G1)),1)/1%),"")</f>
        <v>1</v>
      </c>
      <c r="P10" s="92">
        <f t="array" ref="P10">IFERROR(INDEX($M$1:$O$32,SMALL(IF($M$13:$O$32&gt;0,ROW($M$13:$O$32)),COLUMN(H1)),MOD(SMALL(IF($M$13:$O$32&gt;0,ROW($M$13:$O$32)+(COLUMN($M$13:$O$32)-12)%),COLUMN(H1)),1)/1%),"")</f>
        <v>2</v>
      </c>
      <c r="Q10" s="92">
        <f t="array" ref="Q10">IFERROR(INDEX($M$1:$O$32,SMALL(IF($M$13:$O$32&gt;0,ROW($M$13:$O$32)),COLUMN(I1)),MOD(SMALL(IF($M$13:$O$32&gt;0,ROW($M$13:$O$32)+(COLUMN($M$13:$O$32)-12)%),COLUMN(I1)),1)/1%),"")</f>
        <v>1</v>
      </c>
      <c r="R10" s="92" t="str">
        <f t="array" ref="R10">IFERROR(INDEX($M$1:$O$32,SMALL(IF($M$13:$O$32&gt;0,ROW($M$13:$O$32)),COLUMN(J1)),MOD(SMALL(IF($M$13:$O$32&gt;0,ROW($M$13:$O$32)+(COLUMN($M$13:$O$32)-12)%),COLUMN(J1)),1)/1%),"")</f>
        <v/>
      </c>
      <c r="S10" s="92" t="str">
        <f t="array" ref="S10">IFERROR(INDEX($M$1:$O$32,SMALL(IF($M$13:$O$32&gt;0,ROW($M$13:$O$32)),COLUMN(K1)),MOD(SMALL(IF($M$13:$O$32&gt;0,ROW($M$13:$O$32)+(COLUMN($M$13:$O$32)-12)%),COLUMN(K1)),1)/1%),"")</f>
        <v/>
      </c>
      <c r="T10" s="92" t="str">
        <f t="array" ref="T10">IFERROR(INDEX($M$1:$O$32,SMALL(IF($M$13:$O$32&gt;0,ROW($M$13:$O$32)),COLUMN(L1)),MOD(SMALL(IF($M$13:$O$32&gt;0,ROW($M$13:$O$32)+(COLUMN($M$13:$O$32)-12)%),COLUMN(L1)),1)/1%),"")</f>
        <v/>
      </c>
      <c r="U10" s="92" t="str">
        <f t="array" ref="U10">IFERROR(INDEX($M$1:$O$32,SMALL(IF($M$13:$O$32&gt;0,ROW($M$13:$O$32)),COLUMN(M1)),MOD(SMALL(IF($M$13:$O$32&gt;0,ROW($M$13:$O$32)+(COLUMN($M$13:$O$32)-12)%),COLUMN(M1)),1)/1%),"")</f>
        <v/>
      </c>
      <c r="V10" s="92" t="str">
        <f t="array" ref="V10">IFERROR(INDEX($M$1:$O$32,SMALL(IF($M$13:$O$32&gt;0,ROW($M$13:$O$32)),COLUMN(N1)),MOD(SMALL(IF($M$13:$O$32&gt;0,ROW($M$13:$O$32)+(COLUMN($M$13:$O$32)-12)%),COLUMN(N1)),1)/1%),"")</f>
        <v/>
      </c>
      <c r="W10" s="92" t="str">
        <f t="array" ref="W10">IFERROR(INDEX($M$1:$O$32,SMALL(IF($M$13:$O$32&gt;0,ROW($M$13:$O$32)),COLUMN(O1)),MOD(SMALL(IF($M$13:$O$32&gt;0,ROW($M$13:$O$32)+(COLUMN($M$13:$O$32)-12)%),COLUMN(O1)),1)/1%),"")</f>
        <v/>
      </c>
      <c r="X10" s="92" t="str">
        <f t="array" ref="X10">IFERROR(INDEX($M$1:$O$32,SMALL(IF($M$13:$O$32&gt;0,ROW($M$13:$O$32)),COLUMN(P1)),MOD(SMALL(IF($M$13:$O$32&gt;0,ROW($M$13:$O$32)+(COLUMN($M$13:$O$32)-12)%),COLUMN(P1)),1)/1%),"")</f>
        <v/>
      </c>
      <c r="Y10" s="92" t="str">
        <f t="array" ref="Y10">IFERROR(INDEX($M$1:$O$32,SMALL(IF($M$13:$O$32&gt;0,ROW($M$13:$O$32)),COLUMN(Q1)),MOD(SMALL(IF($M$13:$O$32&gt;0,ROW($M$13:$O$32)+(COLUMN($M$13:$O$32)-12)%),COLUMN(Q1)),1)/1%),"")</f>
        <v/>
      </c>
      <c r="Z10" s="92" t="str">
        <f t="array" ref="Z10">IFERROR(INDEX($M$1:$O$32,SMALL(IF($M$13:$O$32&gt;0,ROW($M$13:$O$32)),COLUMN(R1)),MOD(SMALL(IF($M$13:$O$32&gt;0,ROW($M$13:$O$32)+(COLUMN($M$13:$O$32)-12)%),COLUMN(R1)),1)/1%),"")</f>
        <v/>
      </c>
      <c r="AA10" s="92" t="str">
        <f t="array" ref="AA10">IFERROR(INDEX($M$1:$O$32,SMALL(IF($M$13:$O$32&gt;0,ROW($M$13:$O$32)),COLUMN(S1)),MOD(SMALL(IF($M$13:$O$32&gt;0,ROW($M$13:$O$32)+(COLUMN($M$13:$O$32)-12)%),COLUMN(S1)),1)/1%),"")</f>
        <v/>
      </c>
      <c r="AB10" s="92" t="str">
        <f t="array" ref="AB10">IFERROR(INDEX($M$1:$O$32,SMALL(IF($M$13:$O$32&gt;0,ROW($M$13:$O$32)),COLUMN(T1)),MOD(SMALL(IF($M$13:$O$32&gt;0,ROW($M$13:$O$32)+(COLUMN($M$13:$O$32)-12)%),COLUMN(T1)),1)/1%),"")</f>
        <v/>
      </c>
      <c r="AC10" s="92" t="str">
        <f t="array" ref="AC10">IFERROR(INDEX($M$1:$O$32,SMALL(IF($M$13:$O$32&gt;0,ROW($M$13:$O$32)),COLUMN(U1)),MOD(SMALL(IF($M$13:$O$32&gt;0,ROW($M$13:$O$32)+(COLUMN($M$13:$O$32)-12)%),COLUMN(U1)),1)/1%),"")</f>
        <v/>
      </c>
      <c r="AD10" s="92" t="str">
        <f t="array" ref="AD10">IFERROR(INDEX($M$1:$O$32,SMALL(IF($M$13:$O$32&gt;0,ROW($M$13:$O$32)),COLUMN(V1)),MOD(SMALL(IF($M$13:$O$32&gt;0,ROW($M$13:$O$32)+(COLUMN($M$13:$O$32)-12)%),COLUMN(V1)),1)/1%),"")</f>
        <v/>
      </c>
      <c r="AE10" s="92" t="str">
        <f t="array" ref="AE10">IFERROR(INDEX($M$1:$O$32,SMALL(IF($M$13:$O$32&gt;0,ROW($M$13:$O$32)),COLUMN(W1)),MOD(SMALL(IF($M$13:$O$32&gt;0,ROW($M$13:$O$32)+(COLUMN($M$13:$O$32)-12)%),COLUMN(W1)),1)/1%),"")</f>
        <v/>
      </c>
      <c r="AF10" s="92" t="str">
        <f t="array" ref="AF10">IFERROR(INDEX($M$1:$O$32,SMALL(IF($M$13:$O$32&gt;0,ROW($M$13:$O$32)),COLUMN(X1)),MOD(SMALL(IF($M$13:$O$32&gt;0,ROW($M$13:$O$32)+(COLUMN($M$13:$O$32)-12)%),COLUMN(X1)),1)/1%),"")</f>
        <v/>
      </c>
      <c r="AG10" s="92" t="str">
        <f t="array" ref="AG10">IFERROR(INDEX($M$1:$O$32,SMALL(IF($M$13:$O$32&gt;0,ROW($M$13:$O$32)),COLUMN(Y1)),MOD(SMALL(IF($M$13:$O$32&gt;0,ROW($M$13:$O$32)+(COLUMN($M$13:$O$32)-12)%),COLUMN(Y1)),1)/1%),"")</f>
        <v/>
      </c>
      <c r="AH10" s="92" t="str">
        <f t="array" ref="AH10">IFERROR(INDEX($M$1:$O$32,SMALL(IF($M$13:$O$32&gt;0,ROW($M$13:$O$32)),COLUMN(Z1)),MOD(SMALL(IF($M$13:$O$32&gt;0,ROW($M$13:$O$32)+(COLUMN($M$13:$O$32)-12)%),COLUMN(Z1)),1)/1%),"")</f>
        <v/>
      </c>
      <c r="AI10" s="92" t="str">
        <f t="array" ref="AI10">IFERROR(INDEX($M$1:$O$32,SMALL(IF($M$13:$O$32&gt;0,ROW($M$13:$O$32)),COLUMN(AA1)),MOD(SMALL(IF($M$13:$O$32&gt;0,ROW($M$13:$O$32)+(COLUMN($M$13:$O$32)-12)%),COLUMN(AA1)),1)/1%),"")</f>
        <v/>
      </c>
      <c r="AJ10" s="92" t="str">
        <f t="array" ref="AJ10">IFERROR(INDEX($M$1:$O$32,SMALL(IF($M$13:$O$32&gt;0,ROW($M$13:$O$32)),COLUMN(AB1)),MOD(SMALL(IF($M$13:$O$32&gt;0,ROW($M$13:$O$32)+(COLUMN($M$13:$O$32)-12)%),COLUMN(AB1)),1)/1%),"")</f>
        <v/>
      </c>
      <c r="AK10" s="92" t="str">
        <f t="array" ref="AK10">IFERROR(INDEX($M$1:$O$32,SMALL(IF($M$13:$O$32&gt;0,ROW($M$13:$O$32)),COLUMN(AC1)),MOD(SMALL(IF($M$13:$O$32&gt;0,ROW($M$13:$O$32)+(COLUMN($M$13:$O$32)-12)%),COLUMN(AC1)),1)/1%),"")</f>
        <v/>
      </c>
      <c r="AL10" s="92" t="str">
        <f t="array" ref="AL10">IFERROR(INDEX($M$1:$O$32,SMALL(IF($M$13:$O$32&gt;0,ROW($M$13:$O$32)),COLUMN(AD1)),MOD(SMALL(IF($M$13:$O$32&gt;0,ROW($M$13:$O$32)+(COLUMN($M$13:$O$32)-12)%),COLUMN(AD1)),1)/1%),"")</f>
        <v/>
      </c>
      <c r="AM10" s="92" t="str">
        <f t="array" ref="AM10">IFERROR(INDEX($M$1:$O$32,SMALL(IF($M$13:$O$32&gt;0,ROW($M$13:$O$32)),COLUMN(AE1)),MOD(SMALL(IF($M$13:$O$32&gt;0,ROW($M$13:$O$32)+(COLUMN($M$13:$O$32)-12)%),COLUMN(AE1)),1)/1%),"")</f>
        <v/>
      </c>
      <c r="AN10" s="92" t="str">
        <f t="array" ref="AN10">IFERROR(INDEX($M$1:$O$32,SMALL(IF($M$13:$O$32&gt;0,ROW($M$13:$O$32)),COLUMN(AF1)),MOD(SMALL(IF($M$13:$O$32&gt;0,ROW($M$13:$O$32)+(COLUMN($M$13:$O$32)-12)%),COLUMN(AF1)),1)/1%),"")</f>
        <v/>
      </c>
      <c r="AO10" s="92" t="str">
        <f t="array" ref="AO10">IFERROR(INDEX($M$1:$O$32,SMALL(IF($M$13:$O$32&gt;0,ROW($M$13:$O$32)),COLUMN(AG1)),MOD(SMALL(IF($M$13:$O$32&gt;0,ROW($M$13:$O$32)+(COLUMN($M$13:$O$32)-12)%),COLUMN(AG1)),1)/1%),"")</f>
        <v/>
      </c>
      <c r="AP10" s="92" t="str">
        <f t="array" ref="AP10">IFERROR(INDEX($M$1:$O$32,SMALL(IF($M$13:$O$32&gt;0,ROW($M$13:$O$32)),COLUMN(AH1)),MOD(SMALL(IF($M$13:$O$32&gt;0,ROW($M$13:$O$32)+(COLUMN($M$13:$O$32)-12)%),COLUMN(AH1)),1)/1%),"")</f>
        <v/>
      </c>
      <c r="AQ10" s="92" t="str">
        <f t="array" ref="AQ10">IFERROR(INDEX($M$1:$O$32,SMALL(IF($M$13:$O$32&gt;0,ROW($M$13:$O$32)),COLUMN(AI1)),MOD(SMALL(IF($M$13:$O$32&gt;0,ROW($M$13:$O$32)+(COLUMN($M$13:$O$32)-12)%),COLUMN(AI1)),1)/1%),"")</f>
        <v/>
      </c>
      <c r="AR10" s="92" t="str">
        <f t="array" ref="AR10">IFERROR(INDEX($M$1:$O$32,SMALL(IF($M$13:$O$32&gt;0,ROW($M$13:$O$32)),COLUMN(AJ1)),MOD(SMALL(IF($M$13:$O$32&gt;0,ROW($M$13:$O$32)+(COLUMN($M$13:$O$32)-12)%),COLUMN(AJ1)),1)/1%),"")</f>
        <v/>
      </c>
      <c r="AS10" s="92" t="str">
        <f t="array" ref="AS10">IFERROR(INDEX($M$1:$O$32,SMALL(IF($M$13:$O$32&gt;0,ROW($M$13:$O$32)),COLUMN(AK1)),MOD(SMALL(IF($M$13:$O$32&gt;0,ROW($M$13:$O$32)+(COLUMN($M$13:$O$32)-12)%),COLUMN(AK1)),1)/1%),"")</f>
        <v/>
      </c>
      <c r="AT10" s="92" t="str">
        <f t="array" ref="AT10">IFERROR(INDEX($M$1:$O$32,SMALL(IF($M$13:$O$32&gt;0,ROW($M$13:$O$32)),COLUMN(AL1)),MOD(SMALL(IF($M$13:$O$32&gt;0,ROW($M$13:$O$32)+(COLUMN($M$13:$O$32)-12)%),COLUMN(AL1)),1)/1%),"")</f>
        <v/>
      </c>
      <c r="AU10" s="92" t="str">
        <f t="array" ref="AU10">IFERROR(INDEX($M$1:$O$32,SMALL(IF($M$13:$O$32&gt;0,ROW($M$13:$O$32)),COLUMN(AM1)),MOD(SMALL(IF($M$13:$O$32&gt;0,ROW($M$13:$O$32)+(COLUMN($M$13:$O$32)-12)%),COLUMN(AM1)),1)/1%),"")</f>
        <v/>
      </c>
      <c r="AV10" s="92" t="str">
        <f t="array" ref="AV10">IFERROR(INDEX($M$1:$O$32,SMALL(IF($M$13:$O$32&gt;0,ROW($M$13:$O$32)),COLUMN(AN1)),MOD(SMALL(IF($M$13:$O$32&gt;0,ROW($M$13:$O$32)+(COLUMN($M$13:$O$32)-12)%),COLUMN(AN1)),1)/1%),"")</f>
        <v/>
      </c>
      <c r="AW10" s="92"/>
      <c r="AX10" s="92"/>
      <c r="AY10" s="92"/>
      <c r="AZ10" s="92"/>
      <c r="BA10" s="92"/>
      <c r="BB10" s="92"/>
    </row>
    <row r="11" spans="1:68" s="94" customFormat="1" x14ac:dyDescent="0.3">
      <c r="A11" s="102"/>
      <c r="B11" s="103"/>
      <c r="C11" s="103"/>
      <c r="D11" s="103"/>
      <c r="E11" s="103"/>
      <c r="F11" s="104"/>
      <c r="G11" s="92"/>
      <c r="H11" s="92"/>
      <c r="I11" s="92">
        <f t="array" ref="I11">IFERROR(INDEX($I$1:$K$32,SMALL(IF($I$13:$K$32&gt;0,ROW($I$13:$K$32)),COLUMN(A1)),MOD(SMALL(IF($I$13:$K$32&gt;0,ROW($I$13:$K$32)+(COLUMN($I$13:$K$32)-8)%),COLUMN(A1)),1)/1%),"")</f>
        <v>101</v>
      </c>
      <c r="J11" s="92">
        <f t="array" ref="J11">IFERROR(INDEX($I$1:$K$32,SMALL(IF($I$13:$K$32&gt;0,ROW($I$13:$K$32)),COLUMN(B1)),MOD(SMALL(IF($I$13:$K$32&gt;0,ROW($I$13:$K$32)+(COLUMN($I$13:$K$32)-8)%),COLUMN(B1)),1)/1%),"")</f>
        <v>102</v>
      </c>
      <c r="K11" s="92">
        <f t="array" ref="K11">IFERROR(INDEX($I$1:$K$32,SMALL(IF($I$13:$K$32&gt;0,ROW($I$13:$K$32)),COLUMN(C1)),MOD(SMALL(IF($I$13:$K$32&gt;0,ROW($I$13:$K$32)+(COLUMN($I$13:$K$32)-8)%),COLUMN(C1)),1)/1%),"")</f>
        <v>103</v>
      </c>
      <c r="L11" s="92">
        <f t="array" ref="L11">IFERROR(INDEX($I$1:$K$32,SMALL(IF($I$13:$K$32&gt;0,ROW($I$13:$K$32)),COLUMN(D1)),MOD(SMALL(IF($I$13:$K$32&gt;0,ROW($I$13:$K$32)+(COLUMN($I$13:$K$32)-8)%),COLUMN(D1)),1)/1%),"")</f>
        <v>104</v>
      </c>
      <c r="M11" s="92">
        <f t="array" ref="M11">IFERROR(INDEX($I$1:$K$32,SMALL(IF($I$13:$K$32&gt;0,ROW($I$13:$K$32)),COLUMN(E1)),MOD(SMALL(IF($I$13:$K$32&gt;0,ROW($I$13:$K$32)+(COLUMN($I$13:$K$32)-8)%),COLUMN(E1)),1)/1%),"")</f>
        <v>105</v>
      </c>
      <c r="N11" s="92">
        <f t="array" ref="N11">IFERROR(INDEX($I$1:$K$32,SMALL(IF($I$13:$K$32&gt;0,ROW($I$13:$K$32)),COLUMN(F1)),MOD(SMALL(IF($I$13:$K$32&gt;0,ROW($I$13:$K$32)+(COLUMN($I$13:$K$32)-8)%),COLUMN(F1)),1)/1%),"")</f>
        <v>105</v>
      </c>
      <c r="O11" s="92">
        <f t="array" ref="O11">IFERROR(INDEX($I$1:$K$32,SMALL(IF($I$13:$K$32&gt;0,ROW($I$13:$K$32)),COLUMN(G1)),MOD(SMALL(IF($I$13:$K$32&gt;0,ROW($I$13:$K$32)+(COLUMN($I$13:$K$32)-8)%),COLUMN(G1)),1)/1%),"")</f>
        <v>106</v>
      </c>
      <c r="P11" s="92">
        <f t="array" ref="P11">IFERROR(INDEX($I$1:$K$32,SMALL(IF($I$13:$K$32&gt;0,ROW($I$13:$K$32)),COLUMN(H1)),MOD(SMALL(IF($I$13:$K$32&gt;0,ROW($I$13:$K$32)+(COLUMN($I$13:$K$32)-8)%),COLUMN(H1)),1)/1%),"")</f>
        <v>106</v>
      </c>
      <c r="Q11" s="92">
        <f t="array" ref="Q11">IFERROR(INDEX($I$1:$K$32,SMALL(IF($I$13:$K$32&gt;0,ROW($I$13:$K$32)),COLUMN(I1)),MOD(SMALL(IF($I$13:$K$32&gt;0,ROW($I$13:$K$32)+(COLUMN($I$13:$K$32)-8)%),COLUMN(I1)),1)/1%),"")</f>
        <v>107</v>
      </c>
      <c r="R11" s="92" t="str">
        <f t="array" ref="R11">IFERROR(INDEX($I$1:$K$32,SMALL(IF($I$13:$K$32&gt;0,ROW($I$13:$K$32)),COLUMN(J1)),MOD(SMALL(IF($I$13:$K$32&gt;0,ROW($I$13:$K$32)+(COLUMN($I$13:$K$32)-8)%),COLUMN(J1)),1)/1%),"")</f>
        <v/>
      </c>
      <c r="S11" s="92" t="str">
        <f t="array" ref="S11">IFERROR(INDEX($I$1:$K$32,SMALL(IF($I$13:$K$32&gt;0,ROW($I$13:$K$32)),COLUMN(K1)),MOD(SMALL(IF($I$13:$K$32&gt;0,ROW($I$13:$K$32)+(COLUMN($I$13:$K$32)-8)%),COLUMN(K1)),1)/1%),"")</f>
        <v/>
      </c>
      <c r="T11" s="92" t="str">
        <f t="array" ref="T11">IFERROR(INDEX($I$1:$K$32,SMALL(IF($I$13:$K$32&gt;0,ROW($I$13:$K$32)),COLUMN(L1)),MOD(SMALL(IF($I$13:$K$32&gt;0,ROW($I$13:$K$32)+(COLUMN($I$13:$K$32)-8)%),COLUMN(L1)),1)/1%),"")</f>
        <v/>
      </c>
      <c r="U11" s="92" t="str">
        <f t="array" ref="U11">IFERROR(INDEX($I$1:$K$32,SMALL(IF($I$13:$K$32&gt;0,ROW($I$13:$K$32)),COLUMN(M1)),MOD(SMALL(IF($I$13:$K$32&gt;0,ROW($I$13:$K$32)+(COLUMN($I$13:$K$32)-8)%),COLUMN(M1)),1)/1%),"")</f>
        <v/>
      </c>
      <c r="V11" s="92" t="str">
        <f t="array" ref="V11">IFERROR(INDEX($I$1:$K$32,SMALL(IF($I$13:$K$32&gt;0,ROW($I$13:$K$32)),COLUMN(N1)),MOD(SMALL(IF($I$13:$K$32&gt;0,ROW($I$13:$K$32)+(COLUMN($I$13:$K$32)-8)%),COLUMN(N1)),1)/1%),"")</f>
        <v/>
      </c>
      <c r="W11" s="92" t="str">
        <f t="array" ref="W11">IFERROR(INDEX($I$1:$K$32,SMALL(IF($I$13:$K$32&gt;0,ROW($I$13:$K$32)),COLUMN(O1)),MOD(SMALL(IF($I$13:$K$32&gt;0,ROW($I$13:$K$32)+(COLUMN($I$13:$K$32)-8)%),COLUMN(O1)),1)/1%),"")</f>
        <v/>
      </c>
      <c r="X11" s="92" t="str">
        <f t="array" ref="X11">IFERROR(INDEX($I$1:$K$32,SMALL(IF($I$13:$K$32&gt;0,ROW($I$13:$K$32)),COLUMN(P1)),MOD(SMALL(IF($I$13:$K$32&gt;0,ROW($I$13:$K$32)+(COLUMN($I$13:$K$32)-8)%),COLUMN(P1)),1)/1%),"")</f>
        <v/>
      </c>
      <c r="Y11" s="92" t="str">
        <f t="array" ref="Y11">IFERROR(INDEX($I$1:$K$32,SMALL(IF($I$13:$K$32&gt;0,ROW($I$13:$K$32)),COLUMN(Q1)),MOD(SMALL(IF($I$13:$K$32&gt;0,ROW($I$13:$K$32)+(COLUMN($I$13:$K$32)-8)%),COLUMN(Q1)),1)/1%),"")</f>
        <v/>
      </c>
      <c r="Z11" s="92" t="str">
        <f t="array" ref="Z11">IFERROR(INDEX($I$1:$K$32,SMALL(IF($I$13:$K$32&gt;0,ROW($I$13:$K$32)),COLUMN(R1)),MOD(SMALL(IF($I$13:$K$32&gt;0,ROW($I$13:$K$32)+(COLUMN($I$13:$K$32)-8)%),COLUMN(R1)),1)/1%),"")</f>
        <v/>
      </c>
      <c r="AA11" s="92" t="str">
        <f t="array" ref="AA11">IFERROR(INDEX($I$1:$K$32,SMALL(IF($I$13:$K$32&gt;0,ROW($I$13:$K$32)),COLUMN(S1)),MOD(SMALL(IF($I$13:$K$32&gt;0,ROW($I$13:$K$32)+(COLUMN($I$13:$K$32)-8)%),COLUMN(S1)),1)/1%),"")</f>
        <v/>
      </c>
      <c r="AB11" s="92" t="str">
        <f t="array" ref="AB11">IFERROR(INDEX($I$1:$K$32,SMALL(IF($I$13:$K$32&gt;0,ROW($I$13:$K$32)),COLUMN(T1)),MOD(SMALL(IF($I$13:$K$32&gt;0,ROW($I$13:$K$32)+(COLUMN($I$13:$K$32)-8)%),COLUMN(T1)),1)/1%),"")</f>
        <v/>
      </c>
      <c r="AC11" s="92" t="str">
        <f t="array" ref="AC11">IFERROR(INDEX($I$1:$K$32,SMALL(IF($I$13:$K$32&gt;0,ROW($I$13:$K$32)),COLUMN(U1)),MOD(SMALL(IF($I$13:$K$32&gt;0,ROW($I$13:$K$32)+(COLUMN($I$13:$K$32)-8)%),COLUMN(U1)),1)/1%),"")</f>
        <v/>
      </c>
      <c r="AD11" s="92" t="str">
        <f t="array" ref="AD11">IFERROR(INDEX($I$1:$K$32,SMALL(IF($I$13:$K$32&gt;0,ROW($I$13:$K$32)),COLUMN(V1)),MOD(SMALL(IF($I$13:$K$32&gt;0,ROW($I$13:$K$32)+(COLUMN($I$13:$K$32)-8)%),COLUMN(V1)),1)/1%),"")</f>
        <v/>
      </c>
      <c r="AE11" s="92" t="str">
        <f t="array" ref="AE11">IFERROR(INDEX($I$1:$K$32,SMALL(IF($I$13:$K$32&gt;0,ROW($I$13:$K$32)),COLUMN(W1)),MOD(SMALL(IF($I$13:$K$32&gt;0,ROW($I$13:$K$32)+(COLUMN($I$13:$K$32)-8)%),COLUMN(W1)),1)/1%),"")</f>
        <v/>
      </c>
      <c r="AF11" s="92" t="str">
        <f t="array" ref="AF11">IFERROR(INDEX($I$1:$K$32,SMALL(IF($I$13:$K$32&gt;0,ROW($I$13:$K$32)),COLUMN(X1)),MOD(SMALL(IF($I$13:$K$32&gt;0,ROW($I$13:$K$32)+(COLUMN($I$13:$K$32)-8)%),COLUMN(X1)),1)/1%),"")</f>
        <v/>
      </c>
      <c r="AG11" s="92" t="str">
        <f t="array" ref="AG11">IFERROR(INDEX($I$1:$K$32,SMALL(IF($I$13:$K$32&gt;0,ROW($I$13:$K$32)),COLUMN(Y1)),MOD(SMALL(IF($I$13:$K$32&gt;0,ROW($I$13:$K$32)+(COLUMN($I$13:$K$32)-8)%),COLUMN(Y1)),1)/1%),"")</f>
        <v/>
      </c>
      <c r="AH11" s="92" t="str">
        <f t="array" ref="AH11">IFERROR(INDEX($I$1:$K$32,SMALL(IF($I$13:$K$32&gt;0,ROW($I$13:$K$32)),COLUMN(Z1)),MOD(SMALL(IF($I$13:$K$32&gt;0,ROW($I$13:$K$32)+(COLUMN($I$13:$K$32)-8)%),COLUMN(Z1)),1)/1%),"")</f>
        <v/>
      </c>
      <c r="AI11" s="92" t="str">
        <f t="array" ref="AI11">IFERROR(INDEX($I$1:$K$32,SMALL(IF($I$13:$K$32&gt;0,ROW($I$13:$K$32)),COLUMN(AA1)),MOD(SMALL(IF($I$13:$K$32&gt;0,ROW($I$13:$K$32)+(COLUMN($I$13:$K$32)-8)%),COLUMN(AA1)),1)/1%),"")</f>
        <v/>
      </c>
      <c r="AJ11" s="92" t="str">
        <f t="array" ref="AJ11">IFERROR(INDEX($I$1:$K$32,SMALL(IF($I$13:$K$32&gt;0,ROW($I$13:$K$32)),COLUMN(AB1)),MOD(SMALL(IF($I$13:$K$32&gt;0,ROW($I$13:$K$32)+(COLUMN($I$13:$K$32)-8)%),COLUMN(AB1)),1)/1%),"")</f>
        <v/>
      </c>
      <c r="AK11" s="92" t="str">
        <f t="array" ref="AK11">IFERROR(INDEX($I$1:$K$32,SMALL(IF($I$13:$K$32&gt;0,ROW($I$13:$K$32)),COLUMN(AC1)),MOD(SMALL(IF($I$13:$K$32&gt;0,ROW($I$13:$K$32)+(COLUMN($I$13:$K$32)-8)%),COLUMN(AC1)),1)/1%),"")</f>
        <v/>
      </c>
      <c r="AL11" s="92" t="str">
        <f t="array" ref="AL11">IFERROR(INDEX($I$1:$K$32,SMALL(IF($I$13:$K$32&gt;0,ROW($I$13:$K$32)),COLUMN(AD1)),MOD(SMALL(IF($I$13:$K$32&gt;0,ROW($I$13:$K$32)+(COLUMN($I$13:$K$32)-8)%),COLUMN(AD1)),1)/1%),"")</f>
        <v/>
      </c>
      <c r="AM11" s="92" t="str">
        <f t="array" ref="AM11">IFERROR(INDEX($I$1:$K$32,SMALL(IF($I$13:$K$32&gt;0,ROW($I$13:$K$32)),COLUMN(AE1)),MOD(SMALL(IF($I$13:$K$32&gt;0,ROW($I$13:$K$32)+(COLUMN($I$13:$K$32)-8)%),COLUMN(AE1)),1)/1%),"")</f>
        <v/>
      </c>
      <c r="AN11" s="92" t="str">
        <f t="array" ref="AN11">IFERROR(INDEX($I$1:$K$32,SMALL(IF($I$13:$K$32&gt;0,ROW($I$13:$K$32)),COLUMN(AF1)),MOD(SMALL(IF($I$13:$K$32&gt;0,ROW($I$13:$K$32)+(COLUMN($I$13:$K$32)-8)%),COLUMN(AF1)),1)/1%),"")</f>
        <v/>
      </c>
      <c r="AO11" s="92" t="str">
        <f t="array" ref="AO11">IFERROR(INDEX($I$1:$K$32,SMALL(IF($I$13:$K$32&gt;0,ROW($I$13:$K$32)),COLUMN(AG1)),MOD(SMALL(IF($I$13:$K$32&gt;0,ROW($I$13:$K$32)+(COLUMN($I$13:$K$32)-8)%),COLUMN(AG1)),1)/1%),"")</f>
        <v/>
      </c>
      <c r="AP11" s="92" t="str">
        <f t="array" ref="AP11">IFERROR(INDEX($I$1:$K$32,SMALL(IF($I$13:$K$32&gt;0,ROW($I$13:$K$32)),COLUMN(AH1)),MOD(SMALL(IF($I$13:$K$32&gt;0,ROW($I$13:$K$32)+(COLUMN($I$13:$K$32)-8)%),COLUMN(AH1)),1)/1%),"")</f>
        <v/>
      </c>
      <c r="AQ11" s="92" t="str">
        <f t="array" ref="AQ11">IFERROR(INDEX($I$1:$K$32,SMALL(IF($I$13:$K$32&gt;0,ROW($I$13:$K$32)),COLUMN(AI1)),MOD(SMALL(IF($I$13:$K$32&gt;0,ROW($I$13:$K$32)+(COLUMN($I$13:$K$32)-8)%),COLUMN(AI1)),1)/1%),"")</f>
        <v/>
      </c>
      <c r="AR11" s="92" t="str">
        <f t="array" ref="AR11">IFERROR(INDEX($I$1:$K$32,SMALL(IF($I$13:$K$32&gt;0,ROW($I$13:$K$32)),COLUMN(AJ1)),MOD(SMALL(IF($I$13:$K$32&gt;0,ROW($I$13:$K$32)+(COLUMN($I$13:$K$32)-8)%),COLUMN(AJ1)),1)/1%),"")</f>
        <v/>
      </c>
      <c r="AS11" s="92" t="str">
        <f t="array" ref="AS11">IFERROR(INDEX($I$1:$K$32,SMALL(IF($I$13:$K$32&gt;0,ROW($I$13:$K$32)),COLUMN(AK1)),MOD(SMALL(IF($I$13:$K$32&gt;0,ROW($I$13:$K$32)+(COLUMN($I$13:$K$32)-8)%),COLUMN(AK1)),1)/1%),"")</f>
        <v/>
      </c>
      <c r="AT11" s="92" t="str">
        <f t="array" ref="AT11">IFERROR(INDEX($I$1:$K$32,SMALL(IF($I$13:$K$32&gt;0,ROW($I$13:$K$32)),COLUMN(AL1)),MOD(SMALL(IF($I$13:$K$32&gt;0,ROW($I$13:$K$32)+(COLUMN($I$13:$K$32)-8)%),COLUMN(AL1)),1)/1%),"")</f>
        <v/>
      </c>
      <c r="AU11" s="92" t="str">
        <f t="array" ref="AU11">IFERROR(INDEX($I$1:$K$32,SMALL(IF($I$13:$K$32&gt;0,ROW($I$13:$K$32)),COLUMN(AM1)),MOD(SMALL(IF($I$13:$K$32&gt;0,ROW($I$13:$K$32)+(COLUMN($I$13:$K$32)-8)%),COLUMN(AM1)),1)/1%),"")</f>
        <v/>
      </c>
      <c r="AV11" s="92" t="str">
        <f t="array" ref="AV11">IFERROR(INDEX($I$1:$K$32,SMALL(IF($I$13:$K$32&gt;0,ROW($I$13:$K$32)),COLUMN(AN1)),MOD(SMALL(IF($I$13:$K$32&gt;0,ROW($I$13:$K$32)+(COLUMN($I$13:$K$32)-8)%),COLUMN(AN1)),1)/1%),"")</f>
        <v/>
      </c>
      <c r="AW11" s="92" t="str">
        <f t="array" ref="AW11">IFERROR(INDEX($I$3:$K$32,SMALL(IF($I$13:$K$32&gt;0,ROW($I$13:$K$32)),COLUMN(AO3)),MOD(SMALL(IF($I$13:$K$32&gt;0,ROW($I$13:$K$32)+(COLUMN($I$13:$K$32)-8)%),COLUMN(AO3)),1)/1%),"")</f>
        <v/>
      </c>
      <c r="AX11" s="92" t="str">
        <f t="array" ref="AX11">IFERROR(INDEX($I$3:$K$32,SMALL(IF($I$13:$K$32&gt;0,ROW($I$13:$K$32)),COLUMN(AP3)),MOD(SMALL(IF($I$13:$K$32&gt;0,ROW($I$13:$K$32)+(COLUMN($I$13:$K$32)-8)%),COLUMN(AP3)),1)/1%),"")</f>
        <v/>
      </c>
      <c r="AY11" s="92" t="str">
        <f t="array" ref="AY11">IFERROR(INDEX($I$3:$K$32,SMALL(IF($I$13:$K$32&gt;0,ROW($I$13:$K$32)),COLUMN(AQ3)),MOD(SMALL(IF($I$13:$K$32&gt;0,ROW($I$13:$K$32)+(COLUMN($I$13:$K$32)-8)%),COLUMN(AQ3)),1)/1%),"")</f>
        <v/>
      </c>
      <c r="AZ11" s="92" t="str">
        <f t="array" ref="AZ11">IFERROR(INDEX($I$3:$K$32,SMALL(IF($I$13:$K$32&gt;0,ROW($I$13:$K$32)),COLUMN(AR3)),MOD(SMALL(IF($I$13:$K$32&gt;0,ROW($I$13:$K$32)+(COLUMN($I$13:$K$32)-8)%),COLUMN(AR3)),1)/1%),"")</f>
        <v/>
      </c>
      <c r="BA11" s="92" t="str">
        <f t="array" ref="BA11">IFERROR(INDEX($I$3:$K$32,SMALL(IF($I$13:$K$32&gt;0,ROW($I$13:$K$32)),COLUMN(AS3)),MOD(SMALL(IF($I$13:$K$32&gt;0,ROW($I$13:$K$32)+(COLUMN($I$13:$K$32)-8)%),COLUMN(AS3)),1)/1%),"")</f>
        <v/>
      </c>
      <c r="BB11" s="92" t="str">
        <f t="array" ref="BB11">IFERROR(INDEX($I$3:$K$32,SMALL(IF($I$13:$K$32&gt;0,ROW($I$13:$K$32)),COLUMN(AT3)),MOD(SMALL(IF($I$13:$K$32&gt;0,ROW($I$13:$K$32)+(COLUMN($I$13:$K$32)-8)%),COLUMN(AT3)),1)/1%),"")</f>
        <v/>
      </c>
      <c r="BC11" s="94" t="str">
        <f t="array" ref="BC11">IFERROR(INDEX($I$3:$K$32,SMALL(IF($I$13:$K$32&gt;0,ROW($I$13:$K$32)),COLUMN(AU3)),MOD(SMALL(IF($I$13:$K$32&gt;0,ROW($I$13:$K$32)+(COLUMN($I$13:$K$32)-8)%),COLUMN(AU3)),1)/1%),"")</f>
        <v/>
      </c>
      <c r="BD11" s="94" t="str">
        <f t="array" ref="BD11">IFERROR(INDEX($I$3:$K$32,SMALL(IF($I$13:$K$32&gt;0,ROW($I$13:$K$32)),COLUMN(AV3)),MOD(SMALL(IF($I$13:$K$32&gt;0,ROW($I$13:$K$32)+(COLUMN($I$13:$K$32)-8)%),COLUMN(AV3)),1)/1%),"")</f>
        <v/>
      </c>
      <c r="BE11" s="94" t="str">
        <f t="array" ref="BE11">IFERROR(INDEX($I$3:$K$32,SMALL(IF($I$13:$K$32&gt;0,ROW($I$13:$K$32)),COLUMN(AW3)),MOD(SMALL(IF($I$13:$K$32&gt;0,ROW($I$13:$K$32)+(COLUMN($I$13:$K$32)-8)%),COLUMN(AW3)),1)/1%),"")</f>
        <v/>
      </c>
      <c r="BF11" s="94" t="str">
        <f t="array" ref="BF11">IFERROR(INDEX($I$3:$K$32,SMALL(IF($I$13:$K$32&gt;0,ROW($I$13:$K$32)),COLUMN(AX3)),MOD(SMALL(IF($I$13:$K$32&gt;0,ROW($I$13:$K$32)+(COLUMN($I$13:$K$32)-8)%),COLUMN(AX3)),1)/1%),"")</f>
        <v/>
      </c>
      <c r="BG11" s="94" t="str">
        <f t="array" ref="BG11">IFERROR(INDEX($I$3:$K$32,SMALL(IF($I$13:$K$32&gt;0,ROW($I$13:$K$32)),COLUMN(AY3)),MOD(SMALL(IF($I$13:$K$32&gt;0,ROW($I$13:$K$32)+(COLUMN($I$13:$K$32)-8)%),COLUMN(AY3)),1)/1%),"")</f>
        <v/>
      </c>
      <c r="BH11" s="94" t="str">
        <f t="array" ref="BH11">IFERROR(INDEX($I$3:$K$32,SMALL(IF($I$13:$K$32&gt;0,ROW($I$13:$K$32)),COLUMN(AZ3)),MOD(SMALL(IF($I$13:$K$32&gt;0,ROW($I$13:$K$32)+(COLUMN($I$13:$K$32)-8)%),COLUMN(AZ3)),1)/1%),"")</f>
        <v/>
      </c>
      <c r="BI11" s="94" t="str">
        <f t="array" ref="BI11">IFERROR(INDEX($I$3:$K$32,SMALL(IF($I$13:$K$32&gt;0,ROW($I$13:$K$32)),COLUMN(BA3)),MOD(SMALL(IF($I$13:$K$32&gt;0,ROW($I$13:$K$32)+(COLUMN($I$13:$K$32)-8)%),COLUMN(BA3)),1)/1%),"")</f>
        <v/>
      </c>
      <c r="BJ11" s="94" t="str">
        <f t="array" ref="BJ11">IFERROR(INDEX($I$3:$K$32,SMALL(IF($I$13:$K$32&gt;0,ROW($I$13:$K$32)),COLUMN(BB3)),MOD(SMALL(IF($I$13:$K$32&gt;0,ROW($I$13:$K$32)+(COLUMN($I$13:$K$32)-8)%),COLUMN(BB3)),1)/1%),"")</f>
        <v/>
      </c>
      <c r="BK11" s="94" t="str">
        <f t="array" ref="BK11">IFERROR(INDEX($I$3:$K$32,SMALL(IF($I$13:$K$32&gt;0,ROW($I$13:$K$32)),COLUMN(BC3)),MOD(SMALL(IF($I$13:$K$32&gt;0,ROW($I$13:$K$32)+(COLUMN($I$13:$K$32)-8)%),COLUMN(BC3)),1)/1%),"")</f>
        <v/>
      </c>
      <c r="BL11" s="94" t="str">
        <f t="array" ref="BL11">IFERROR(INDEX($I$3:$K$32,SMALL(IF($I$13:$K$32&gt;0,ROW($I$13:$K$32)),COLUMN(BD3)),MOD(SMALL(IF($I$13:$K$32&gt;0,ROW($I$13:$K$32)+(COLUMN($I$13:$K$32)-8)%),COLUMN(BD3)),1)/1%),"")</f>
        <v/>
      </c>
      <c r="BM11" s="94" t="str">
        <f t="array" ref="BM11">IFERROR(INDEX($I$3:$K$32,SMALL(IF($I$13:$K$32&gt;0,ROW($I$13:$K$32)),COLUMN(BE3)),MOD(SMALL(IF($I$13:$K$32&gt;0,ROW($I$13:$K$32)+(COLUMN($I$13:$K$32)-8)%),COLUMN(BE3)),1)/1%),"")</f>
        <v/>
      </c>
      <c r="BN11" s="94" t="str">
        <f t="array" ref="BN11">IFERROR(INDEX($I$3:$K$32,SMALL(IF($I$13:$K$32&gt;0,ROW($I$13:$K$32)),COLUMN(BF3)),MOD(SMALL(IF($I$13:$K$32&gt;0,ROW($I$13:$K$32)+(COLUMN($I$13:$K$32)-8)%),COLUMN(BF3)),1)/1%),"")</f>
        <v/>
      </c>
      <c r="BO11" s="94" t="str">
        <f t="array" ref="BO11">IFERROR(INDEX($I$3:$K$32,SMALL(IF($I$13:$K$32&gt;0,ROW($I$13:$K$32)),COLUMN(BG3)),MOD(SMALL(IF($I$13:$K$32&gt;0,ROW($I$13:$K$32)+(COLUMN($I$13:$K$32)-8)%),COLUMN(BG3)),1)/1%),"")</f>
        <v/>
      </c>
      <c r="BP11" s="94" t="str">
        <f t="array" ref="BP11">IFERROR(INDEX($I$3:$K$32,SMALL(IF($I$13:$K$32&gt;0,ROW($I$13:$K$32)),COLUMN(BH3)),MOD(SMALL(IF($I$13:$K$32&gt;0,ROW($I$13:$K$32)+(COLUMN($I$13:$K$32)-8)%),COLUMN(BH3)),1)/1%),"")</f>
        <v/>
      </c>
    </row>
    <row r="12" spans="1:68" s="94" customFormat="1" ht="45" customHeight="1" x14ac:dyDescent="0.3">
      <c r="A12" s="105" t="s">
        <v>59</v>
      </c>
      <c r="B12" s="106" t="s">
        <v>39</v>
      </c>
      <c r="C12" s="106" t="s">
        <v>57</v>
      </c>
      <c r="D12" s="106" t="s">
        <v>40</v>
      </c>
      <c r="E12" s="106" t="s">
        <v>42</v>
      </c>
      <c r="F12" s="107" t="s">
        <v>41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>
        <f>IF(AND(MAX(Q13:Q32)&lt;=8,OR(D10+G33=15,D10+G33=16)),8,14)</f>
        <v>14</v>
      </c>
      <c r="R12" s="92"/>
      <c r="S12" s="92">
        <v>0</v>
      </c>
      <c r="T12" s="92">
        <v>0</v>
      </c>
      <c r="U12" s="92"/>
      <c r="V12" s="92"/>
      <c r="W12" s="92">
        <f t="array" ref="W12">IF(MIN(IF(R13:R32=1,$Q13:$Q32))&gt;T32,S32+1,S32)</f>
        <v>1</v>
      </c>
      <c r="X12" s="92">
        <f t="array" ref="X12">IF(MIN(IF(R13:R32=1,$Q13:$Q32))&gt;T32,Q12,T32)</f>
        <v>1</v>
      </c>
      <c r="Y12" s="92"/>
      <c r="Z12" s="92"/>
      <c r="AA12" s="92">
        <f t="array" ref="AA12">IF(MIN(IF(V13:V32=1,$Q13:$Q32))&gt;X32,W32+1,W32)</f>
        <v>1</v>
      </c>
      <c r="AB12" s="92">
        <f t="array" ref="AB12">IF(MIN(IF(V13:V32=1,$Q13:$Q32))&gt;X32,Q12,X32)</f>
        <v>1</v>
      </c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</row>
    <row r="13" spans="1:68" s="94" customFormat="1" x14ac:dyDescent="0.3">
      <c r="A13" s="108">
        <v>101</v>
      </c>
      <c r="B13" s="121">
        <v>3</v>
      </c>
      <c r="C13" s="121"/>
      <c r="D13" s="121"/>
      <c r="E13" s="121"/>
      <c r="F13" s="122"/>
      <c r="G13" s="109">
        <f t="shared" ref="G13:G31" si="1">IF($C$3="Дротова",0,ROUNDUP(F13/2,0))</f>
        <v>0</v>
      </c>
      <c r="H13" s="92">
        <f t="shared" ref="H13:H31" si="2">COUNTIF(B13:E13,"&gt;0")+COUNTIF(G13,"&gt;0")-SUMPRODUCT((B13&gt;0)*(C13&gt;0))-SUMPRODUCT((D13&gt;0)*(E13&gt;0))</f>
        <v>1</v>
      </c>
      <c r="I13" s="92">
        <f t="shared" ref="I13:I32" si="3">IF(H13&gt;0,A13,)</f>
        <v>101</v>
      </c>
      <c r="J13" s="92">
        <f t="shared" ref="J13:J32" si="4">IF(H13-1&gt;0,A13,)</f>
        <v>0</v>
      </c>
      <c r="K13" s="92">
        <f t="shared" ref="K13:K32" si="5">IF(H13-2&gt;0,A13,)</f>
        <v>0</v>
      </c>
      <c r="L13" s="92"/>
      <c r="M13" s="92">
        <f>IF(SUM(B13:E13)&gt;0,1,0)</f>
        <v>1</v>
      </c>
      <c r="N13" s="92">
        <f t="shared" ref="N13:N32" si="6">IF(MAX(B13:C13)*MAX(D13:E13)&gt;0,2,0)</f>
        <v>0</v>
      </c>
      <c r="O13" s="92">
        <f>IF(G13&gt;0,3,0)</f>
        <v>0</v>
      </c>
      <c r="P13" s="92"/>
      <c r="Q13" s="92">
        <f>SUM(B13:E13,G13)</f>
        <v>3</v>
      </c>
      <c r="R13" s="92">
        <f t="shared" ref="R13:R32" si="7">IF(T13&lt;&gt;T12,0,IF(H13=0,0,1))</f>
        <v>0</v>
      </c>
      <c r="S13" s="92">
        <f>IF(T12=0,MAX(S$12:S12)+1,MAX(S$12:S12))</f>
        <v>1</v>
      </c>
      <c r="T13" s="92">
        <f>IF(T12=0,$Q$12-$Q13,IF(T12-$Q13&lt;0,T12,T12-$Q13))</f>
        <v>11</v>
      </c>
      <c r="U13" s="92"/>
      <c r="V13" s="92">
        <f t="shared" ref="V13:V32" si="8">IF(R13=0,0,IF(X13&lt;&gt;X12,0,IF(H13=0,0,1)))</f>
        <v>0</v>
      </c>
      <c r="W13" s="92">
        <f>IF(AND(X12=0,X13&lt;&gt;0),MAX(W$12:W12)+1,MAX(W$12:W12))</f>
        <v>1</v>
      </c>
      <c r="X13" s="92">
        <f>IF(R13=0,X12,IF(X12=0,14-$Q13,IF(X12-$Q13&lt;0,X12,X12-$Q13)))</f>
        <v>1</v>
      </c>
      <c r="Y13" s="92"/>
      <c r="Z13" s="92">
        <f t="shared" ref="Z13:Z28" si="9">IF(V13=0,0,IF(AB13&lt;&gt;AB12,0,IF(SUM(F13:I13)=0,0,1)))</f>
        <v>0</v>
      </c>
      <c r="AA13" s="92">
        <f>IF(AND(AB12=0,AB13&lt;&gt;0),MAX(AA$12:AA12)+1,MAX(AA$12:AA12))</f>
        <v>1</v>
      </c>
      <c r="AB13" s="92">
        <f>IF(V13=0,AB12,IF(AB12=0,14-$Q13,IF(AB12-$Q13&lt;0,AB12,AB12-$Q13)))</f>
        <v>1</v>
      </c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</row>
    <row r="14" spans="1:68" s="94" customFormat="1" x14ac:dyDescent="0.3">
      <c r="A14" s="108">
        <f>A13+1</f>
        <v>102</v>
      </c>
      <c r="B14" s="121">
        <v>2</v>
      </c>
      <c r="C14" s="121"/>
      <c r="D14" s="121"/>
      <c r="E14" s="121"/>
      <c r="F14" s="122"/>
      <c r="G14" s="109">
        <f t="shared" si="1"/>
        <v>0</v>
      </c>
      <c r="H14" s="92">
        <f t="shared" si="2"/>
        <v>1</v>
      </c>
      <c r="I14" s="92">
        <f t="shared" si="3"/>
        <v>102</v>
      </c>
      <c r="J14" s="92">
        <f t="shared" si="4"/>
        <v>0</v>
      </c>
      <c r="K14" s="92">
        <f t="shared" si="5"/>
        <v>0</v>
      </c>
      <c r="L14" s="92"/>
      <c r="M14" s="92">
        <f t="shared" ref="M14:M32" si="10">IF(SUM(B14:E14)&gt;0,1,0)</f>
        <v>1</v>
      </c>
      <c r="N14" s="92">
        <f t="shared" si="6"/>
        <v>0</v>
      </c>
      <c r="O14" s="92">
        <f t="shared" ref="O14:O32" si="11">IF(G14&gt;0,3,0)</f>
        <v>0</v>
      </c>
      <c r="P14" s="92"/>
      <c r="Q14" s="92">
        <f t="shared" ref="Q14:Q37" si="12">SUM(B14:E14,G14)</f>
        <v>2</v>
      </c>
      <c r="R14" s="92">
        <f t="shared" si="7"/>
        <v>0</v>
      </c>
      <c r="S14" s="92">
        <f>IF(T13=0,MAX(S$12:S13)+1,MAX(S$12:S13))</f>
        <v>1</v>
      </c>
      <c r="T14" s="92">
        <f t="shared" ref="T14" si="13">IF(T13=0,$Q$12-$Q14,IF(T13-$Q14&lt;0,T13,T13-$Q14))</f>
        <v>9</v>
      </c>
      <c r="U14" s="92"/>
      <c r="V14" s="92">
        <f t="shared" si="8"/>
        <v>0</v>
      </c>
      <c r="W14" s="92">
        <f>IF(AND(X13=0,X14&lt;&gt;0),MAX(W$12:W13)+1,MAX(W$12:W13))</f>
        <v>1</v>
      </c>
      <c r="X14" s="92">
        <f t="shared" ref="X14:X32" si="14">IF(R14=0,X13,IF(X13=0,14-Q14,IF(X13-Q14&lt;0,X13,X13-Q14)))</f>
        <v>1</v>
      </c>
      <c r="Y14" s="92"/>
      <c r="Z14" s="92">
        <f t="shared" si="9"/>
        <v>0</v>
      </c>
      <c r="AA14" s="92">
        <f>IF(AND(AB13=0,AB14&lt;&gt;0),MAX(AA$12:AA13)+1,MAX(AA$12:AA13))</f>
        <v>1</v>
      </c>
      <c r="AB14" s="92">
        <f t="shared" ref="AB14:AB32" si="15">IF(V14=0,AB13,IF(AB13=0,14-$Q14,IF(AB13-$Q14&lt;0,AB13,AB13-$Q14)))</f>
        <v>1</v>
      </c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</row>
    <row r="15" spans="1:68" s="94" customFormat="1" ht="15" customHeight="1" x14ac:dyDescent="0.3">
      <c r="A15" s="108">
        <f t="shared" ref="A15:A32" si="16">A14+1</f>
        <v>103</v>
      </c>
      <c r="B15" s="121">
        <v>1</v>
      </c>
      <c r="C15" s="121"/>
      <c r="D15" s="121"/>
      <c r="E15" s="121"/>
      <c r="F15" s="122"/>
      <c r="G15" s="109">
        <f t="shared" si="1"/>
        <v>0</v>
      </c>
      <c r="H15" s="92">
        <f>COUNTIF(B15:E15,"&gt;0")+COUNTIF(G15,"&gt;0")-SUMPRODUCT((B15&gt;0)*(C15&gt;0))-SUMPRODUCT((D15&gt;0)*(E15&gt;0))</f>
        <v>1</v>
      </c>
      <c r="I15" s="92">
        <f t="shared" si="3"/>
        <v>103</v>
      </c>
      <c r="J15" s="92">
        <f t="shared" si="4"/>
        <v>0</v>
      </c>
      <c r="K15" s="92">
        <f t="shared" si="5"/>
        <v>0</v>
      </c>
      <c r="L15" s="92"/>
      <c r="M15" s="92">
        <f>IF(SUM(B15:E15)&gt;0,1,0)</f>
        <v>1</v>
      </c>
      <c r="N15" s="92">
        <f>IF(MAX(B15:C15)*MAX(D15:E15)&gt;0,2,0)</f>
        <v>0</v>
      </c>
      <c r="O15" s="92">
        <f t="shared" si="11"/>
        <v>0</v>
      </c>
      <c r="P15" s="92"/>
      <c r="Q15" s="92">
        <f>SUM(B15:E15,G15)</f>
        <v>1</v>
      </c>
      <c r="R15" s="92">
        <f t="shared" si="7"/>
        <v>0</v>
      </c>
      <c r="S15" s="92">
        <f>IF(T14=0,MAX(S$12:S14)+1,MAX(S$12:S14))</f>
        <v>1</v>
      </c>
      <c r="T15" s="92">
        <f t="shared" ref="T15:T32" si="17">IF(T14=0,$Q$12-$Q15,IF(T14-$Q15&lt;0,T14,T14-$Q15))</f>
        <v>8</v>
      </c>
      <c r="U15" s="92"/>
      <c r="V15" s="92">
        <f t="shared" si="8"/>
        <v>0</v>
      </c>
      <c r="W15" s="92">
        <f>IF(AND(X14=0,X15&lt;&gt;0),MAX(W$12:W14)+1,MAX(W$12:W14))</f>
        <v>1</v>
      </c>
      <c r="X15" s="92">
        <f t="shared" si="14"/>
        <v>1</v>
      </c>
      <c r="Y15" s="92"/>
      <c r="Z15" s="92">
        <f t="shared" si="9"/>
        <v>0</v>
      </c>
      <c r="AA15" s="92">
        <f>IF(AND(AB14=0,AB15&lt;&gt;0),MAX(AA$12:AA14)+1,MAX(AA$12:AA14))</f>
        <v>1</v>
      </c>
      <c r="AB15" s="92">
        <f t="shared" si="15"/>
        <v>1</v>
      </c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</row>
    <row r="16" spans="1:68" s="94" customFormat="1" x14ac:dyDescent="0.3">
      <c r="A16" s="108">
        <f t="shared" si="16"/>
        <v>104</v>
      </c>
      <c r="B16" s="121">
        <v>1</v>
      </c>
      <c r="C16" s="121"/>
      <c r="D16" s="121"/>
      <c r="E16" s="121"/>
      <c r="F16" s="122"/>
      <c r="G16" s="109">
        <f t="shared" si="1"/>
        <v>0</v>
      </c>
      <c r="H16" s="92">
        <f>COUNTIF(B16:E16,"&gt;0")+COUNTIF(G16,"&gt;0")-SUMPRODUCT((B16&gt;0)*(C16&gt;0))-SUMPRODUCT((D16&gt;0)*(E16&gt;0))</f>
        <v>1</v>
      </c>
      <c r="I16" s="92">
        <f t="shared" si="3"/>
        <v>104</v>
      </c>
      <c r="J16" s="92">
        <f t="shared" si="4"/>
        <v>0</v>
      </c>
      <c r="K16" s="92">
        <f t="shared" si="5"/>
        <v>0</v>
      </c>
      <c r="L16" s="92"/>
      <c r="M16" s="92">
        <f>IF(SUM(B16:E16)&gt;0,1,0)</f>
        <v>1</v>
      </c>
      <c r="N16" s="92">
        <f>IF(MAX(B16:C16)*MAX(D16:E16)&gt;0,2,0)</f>
        <v>0</v>
      </c>
      <c r="O16" s="92">
        <f t="shared" si="11"/>
        <v>0</v>
      </c>
      <c r="P16" s="92"/>
      <c r="Q16" s="92">
        <f>SUM(B16:E16,G16)</f>
        <v>1</v>
      </c>
      <c r="R16" s="92">
        <f t="shared" si="7"/>
        <v>0</v>
      </c>
      <c r="S16" s="92">
        <f>IF(T15=0,MAX(S$12:S15)+1,MAX(S$12:S15))</f>
        <v>1</v>
      </c>
      <c r="T16" s="92">
        <f t="shared" si="17"/>
        <v>7</v>
      </c>
      <c r="U16" s="92"/>
      <c r="V16" s="92">
        <f t="shared" si="8"/>
        <v>0</v>
      </c>
      <c r="W16" s="92">
        <f>IF(AND(X15=0,X16&lt;&gt;0),MAX(W$12:W15)+1,MAX(W$12:W15))</f>
        <v>1</v>
      </c>
      <c r="X16" s="92">
        <f t="shared" si="14"/>
        <v>1</v>
      </c>
      <c r="Y16" s="92"/>
      <c r="Z16" s="92">
        <f t="shared" si="9"/>
        <v>0</v>
      </c>
      <c r="AA16" s="92">
        <f>IF(AND(AB15=0,AB16&lt;&gt;0),MAX(AA$12:AA15)+1,MAX(AA$12:AA15))</f>
        <v>1</v>
      </c>
      <c r="AB16" s="92">
        <f t="shared" si="15"/>
        <v>1</v>
      </c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</row>
    <row r="17" spans="1:54" s="94" customFormat="1" x14ac:dyDescent="0.3">
      <c r="A17" s="108">
        <f t="shared" si="16"/>
        <v>105</v>
      </c>
      <c r="B17" s="121">
        <v>1</v>
      </c>
      <c r="C17" s="121"/>
      <c r="D17" s="121">
        <v>1</v>
      </c>
      <c r="E17" s="121"/>
      <c r="F17" s="122"/>
      <c r="G17" s="109">
        <f t="shared" si="1"/>
        <v>0</v>
      </c>
      <c r="H17" s="92">
        <f t="shared" si="2"/>
        <v>2</v>
      </c>
      <c r="I17" s="92">
        <f t="shared" si="3"/>
        <v>105</v>
      </c>
      <c r="J17" s="92">
        <f t="shared" si="4"/>
        <v>105</v>
      </c>
      <c r="K17" s="92">
        <f t="shared" si="5"/>
        <v>0</v>
      </c>
      <c r="L17" s="92"/>
      <c r="M17" s="92">
        <f t="shared" si="10"/>
        <v>1</v>
      </c>
      <c r="N17" s="92">
        <f t="shared" si="6"/>
        <v>2</v>
      </c>
      <c r="O17" s="92">
        <f t="shared" si="11"/>
        <v>0</v>
      </c>
      <c r="P17" s="92"/>
      <c r="Q17" s="92">
        <f t="shared" si="12"/>
        <v>2</v>
      </c>
      <c r="R17" s="92">
        <f t="shared" si="7"/>
        <v>0</v>
      </c>
      <c r="S17" s="92">
        <f>IF(T16=0,MAX(S$12:S16)+1,MAX(S$12:S16))</f>
        <v>1</v>
      </c>
      <c r="T17" s="92">
        <f t="shared" si="17"/>
        <v>5</v>
      </c>
      <c r="U17" s="92"/>
      <c r="V17" s="92">
        <f t="shared" si="8"/>
        <v>0</v>
      </c>
      <c r="W17" s="92">
        <f>IF(AND(X16=0,X17&lt;&gt;0),MAX(W$12:W16)+1,MAX(W$12:W16))</f>
        <v>1</v>
      </c>
      <c r="X17" s="92">
        <f t="shared" si="14"/>
        <v>1</v>
      </c>
      <c r="Y17" s="92"/>
      <c r="Z17" s="92">
        <f t="shared" si="9"/>
        <v>0</v>
      </c>
      <c r="AA17" s="92">
        <f>IF(AND(AB16=0,AB17&lt;&gt;0),MAX(AA$12:AA16)+1,MAX(AA$12:AA16))</f>
        <v>1</v>
      </c>
      <c r="AB17" s="92">
        <f t="shared" si="15"/>
        <v>1</v>
      </c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</row>
    <row r="18" spans="1:54" s="94" customFormat="1" x14ac:dyDescent="0.3">
      <c r="A18" s="108">
        <f t="shared" si="16"/>
        <v>106</v>
      </c>
      <c r="B18" s="121">
        <v>1</v>
      </c>
      <c r="C18" s="121"/>
      <c r="D18" s="121">
        <v>1</v>
      </c>
      <c r="E18" s="121"/>
      <c r="F18" s="122"/>
      <c r="G18" s="109">
        <f t="shared" si="1"/>
        <v>0</v>
      </c>
      <c r="H18" s="92">
        <f t="shared" si="2"/>
        <v>2</v>
      </c>
      <c r="I18" s="92">
        <f t="shared" si="3"/>
        <v>106</v>
      </c>
      <c r="J18" s="92">
        <f t="shared" si="4"/>
        <v>106</v>
      </c>
      <c r="K18" s="92">
        <f t="shared" si="5"/>
        <v>0</v>
      </c>
      <c r="L18" s="92"/>
      <c r="M18" s="92">
        <f t="shared" si="10"/>
        <v>1</v>
      </c>
      <c r="N18" s="92">
        <f t="shared" si="6"/>
        <v>2</v>
      </c>
      <c r="O18" s="92">
        <f t="shared" si="11"/>
        <v>0</v>
      </c>
      <c r="P18" s="92"/>
      <c r="Q18" s="92">
        <f t="shared" si="12"/>
        <v>2</v>
      </c>
      <c r="R18" s="92">
        <f t="shared" si="7"/>
        <v>0</v>
      </c>
      <c r="S18" s="92">
        <f>IF(T17=0,MAX(S$12:S17)+1,MAX(S$12:S17))</f>
        <v>1</v>
      </c>
      <c r="T18" s="92">
        <f t="shared" si="17"/>
        <v>3</v>
      </c>
      <c r="U18" s="92"/>
      <c r="V18" s="92">
        <f t="shared" si="8"/>
        <v>0</v>
      </c>
      <c r="W18" s="92">
        <f>IF(AND(X17=0,X18&lt;&gt;0),MAX(W$12:W17)+1,MAX(W$12:W17))</f>
        <v>1</v>
      </c>
      <c r="X18" s="92">
        <f t="shared" si="14"/>
        <v>1</v>
      </c>
      <c r="Y18" s="92"/>
      <c r="Z18" s="92">
        <f t="shared" si="9"/>
        <v>0</v>
      </c>
      <c r="AA18" s="92">
        <f>IF(AND(AB17=0,AB18&lt;&gt;0),MAX(AA$12:AA17)+1,MAX(AA$12:AA17))</f>
        <v>1</v>
      </c>
      <c r="AB18" s="92">
        <f t="shared" si="15"/>
        <v>1</v>
      </c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</row>
    <row r="19" spans="1:54" s="94" customFormat="1" x14ac:dyDescent="0.3">
      <c r="A19" s="108">
        <f t="shared" si="16"/>
        <v>107</v>
      </c>
      <c r="B19" s="121"/>
      <c r="C19" s="121"/>
      <c r="D19" s="121">
        <v>2</v>
      </c>
      <c r="E19" s="121"/>
      <c r="F19" s="122"/>
      <c r="G19" s="109">
        <f t="shared" si="1"/>
        <v>0</v>
      </c>
      <c r="H19" s="92">
        <f t="shared" si="2"/>
        <v>1</v>
      </c>
      <c r="I19" s="92">
        <f t="shared" si="3"/>
        <v>107</v>
      </c>
      <c r="J19" s="92">
        <f t="shared" si="4"/>
        <v>0</v>
      </c>
      <c r="K19" s="92">
        <f t="shared" si="5"/>
        <v>0</v>
      </c>
      <c r="L19" s="92"/>
      <c r="M19" s="92">
        <f t="shared" si="10"/>
        <v>1</v>
      </c>
      <c r="N19" s="92">
        <f t="shared" si="6"/>
        <v>0</v>
      </c>
      <c r="O19" s="92">
        <f t="shared" si="11"/>
        <v>0</v>
      </c>
      <c r="P19" s="92"/>
      <c r="Q19" s="92">
        <f t="shared" si="12"/>
        <v>2</v>
      </c>
      <c r="R19" s="92">
        <f t="shared" si="7"/>
        <v>0</v>
      </c>
      <c r="S19" s="92">
        <f>IF(T18=0,MAX(S$12:S18)+1,MAX(S$12:S18))</f>
        <v>1</v>
      </c>
      <c r="T19" s="92">
        <f t="shared" si="17"/>
        <v>1</v>
      </c>
      <c r="U19" s="92"/>
      <c r="V19" s="92">
        <f t="shared" si="8"/>
        <v>0</v>
      </c>
      <c r="W19" s="92">
        <f>IF(AND(X18=0,X19&lt;&gt;0),MAX(W$12:W18)+1,MAX(W$12:W18))</f>
        <v>1</v>
      </c>
      <c r="X19" s="92">
        <f t="shared" si="14"/>
        <v>1</v>
      </c>
      <c r="Y19" s="92"/>
      <c r="Z19" s="92">
        <f t="shared" si="9"/>
        <v>0</v>
      </c>
      <c r="AA19" s="92">
        <f>IF(AND(AB18=0,AB19&lt;&gt;0),MAX(AA$12:AA18)+1,MAX(AA$12:AA18))</f>
        <v>1</v>
      </c>
      <c r="AB19" s="92">
        <f t="shared" si="15"/>
        <v>1</v>
      </c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</row>
    <row r="20" spans="1:54" s="94" customFormat="1" x14ac:dyDescent="0.3">
      <c r="A20" s="108">
        <f t="shared" si="16"/>
        <v>108</v>
      </c>
      <c r="B20" s="121"/>
      <c r="C20" s="121"/>
      <c r="D20" s="121"/>
      <c r="E20" s="121"/>
      <c r="F20" s="122"/>
      <c r="G20" s="109">
        <f t="shared" si="1"/>
        <v>0</v>
      </c>
      <c r="H20" s="92">
        <f t="shared" si="2"/>
        <v>0</v>
      </c>
      <c r="I20" s="92">
        <f t="shared" si="3"/>
        <v>0</v>
      </c>
      <c r="J20" s="92">
        <f t="shared" si="4"/>
        <v>0</v>
      </c>
      <c r="K20" s="92">
        <f t="shared" si="5"/>
        <v>0</v>
      </c>
      <c r="L20" s="92"/>
      <c r="M20" s="92">
        <f t="shared" si="10"/>
        <v>0</v>
      </c>
      <c r="N20" s="92">
        <f t="shared" si="6"/>
        <v>0</v>
      </c>
      <c r="O20" s="92">
        <f t="shared" si="11"/>
        <v>0</v>
      </c>
      <c r="P20" s="92"/>
      <c r="Q20" s="92">
        <f t="shared" si="12"/>
        <v>0</v>
      </c>
      <c r="R20" s="92">
        <f t="shared" si="7"/>
        <v>0</v>
      </c>
      <c r="S20" s="92">
        <f>IF(T19=0,MAX(S$12:S19)+1,MAX(S$12:S19))</f>
        <v>1</v>
      </c>
      <c r="T20" s="92">
        <f t="shared" si="17"/>
        <v>1</v>
      </c>
      <c r="U20" s="92"/>
      <c r="V20" s="92">
        <f t="shared" si="8"/>
        <v>0</v>
      </c>
      <c r="W20" s="92">
        <f>IF(AND(X19=0,X20&lt;&gt;0),MAX(W$12:W19)+1,MAX(W$12:W19))</f>
        <v>1</v>
      </c>
      <c r="X20" s="92">
        <f t="shared" si="14"/>
        <v>1</v>
      </c>
      <c r="Y20" s="92"/>
      <c r="Z20" s="92">
        <f t="shared" si="9"/>
        <v>0</v>
      </c>
      <c r="AA20" s="92">
        <f>IF(AND(AB19=0,AB20&lt;&gt;0),MAX(AA$12:AA19)+1,MAX(AA$12:AA19))</f>
        <v>1</v>
      </c>
      <c r="AB20" s="92">
        <f t="shared" si="15"/>
        <v>1</v>
      </c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</row>
    <row r="21" spans="1:54" s="94" customFormat="1" x14ac:dyDescent="0.3">
      <c r="A21" s="108">
        <f t="shared" si="16"/>
        <v>109</v>
      </c>
      <c r="B21" s="121"/>
      <c r="C21" s="121"/>
      <c r="D21" s="121"/>
      <c r="E21" s="121"/>
      <c r="F21" s="122"/>
      <c r="G21" s="109">
        <f t="shared" si="1"/>
        <v>0</v>
      </c>
      <c r="H21" s="92">
        <f t="shared" si="2"/>
        <v>0</v>
      </c>
      <c r="I21" s="92">
        <f t="shared" si="3"/>
        <v>0</v>
      </c>
      <c r="J21" s="92">
        <f t="shared" si="4"/>
        <v>0</v>
      </c>
      <c r="K21" s="92">
        <f t="shared" si="5"/>
        <v>0</v>
      </c>
      <c r="L21" s="92"/>
      <c r="M21" s="92">
        <f t="shared" si="10"/>
        <v>0</v>
      </c>
      <c r="N21" s="92">
        <f t="shared" si="6"/>
        <v>0</v>
      </c>
      <c r="O21" s="92">
        <f t="shared" si="11"/>
        <v>0</v>
      </c>
      <c r="P21" s="92"/>
      <c r="Q21" s="92">
        <f t="shared" si="12"/>
        <v>0</v>
      </c>
      <c r="R21" s="92">
        <f t="shared" si="7"/>
        <v>0</v>
      </c>
      <c r="S21" s="92">
        <f>IF(T20=0,MAX(S$12:S20)+1,MAX(S$12:S20))</f>
        <v>1</v>
      </c>
      <c r="T21" s="92">
        <f t="shared" si="17"/>
        <v>1</v>
      </c>
      <c r="U21" s="92"/>
      <c r="V21" s="92">
        <f t="shared" si="8"/>
        <v>0</v>
      </c>
      <c r="W21" s="92">
        <f>IF(AND(X20=0,X21&lt;&gt;0),MAX(W$12:W20)+1,MAX(W$12:W20))</f>
        <v>1</v>
      </c>
      <c r="X21" s="92">
        <f t="shared" si="14"/>
        <v>1</v>
      </c>
      <c r="Y21" s="92"/>
      <c r="Z21" s="92">
        <f t="shared" si="9"/>
        <v>0</v>
      </c>
      <c r="AA21" s="92">
        <f>IF(AND(AB20=0,AB21&lt;&gt;0),MAX(AA$12:AA20)+1,MAX(AA$12:AA20))</f>
        <v>1</v>
      </c>
      <c r="AB21" s="92">
        <f t="shared" si="15"/>
        <v>1</v>
      </c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</row>
    <row r="22" spans="1:54" s="94" customFormat="1" x14ac:dyDescent="0.3">
      <c r="A22" s="108">
        <f t="shared" si="16"/>
        <v>110</v>
      </c>
      <c r="B22" s="121"/>
      <c r="C22" s="121"/>
      <c r="D22" s="121"/>
      <c r="E22" s="121"/>
      <c r="F22" s="122"/>
      <c r="G22" s="109">
        <f t="shared" si="1"/>
        <v>0</v>
      </c>
      <c r="H22" s="92">
        <f t="shared" si="2"/>
        <v>0</v>
      </c>
      <c r="I22" s="92">
        <f t="shared" si="3"/>
        <v>0</v>
      </c>
      <c r="J22" s="92">
        <f t="shared" si="4"/>
        <v>0</v>
      </c>
      <c r="K22" s="92">
        <f t="shared" si="5"/>
        <v>0</v>
      </c>
      <c r="L22" s="92"/>
      <c r="M22" s="92">
        <f t="shared" si="10"/>
        <v>0</v>
      </c>
      <c r="N22" s="92">
        <f t="shared" si="6"/>
        <v>0</v>
      </c>
      <c r="O22" s="92">
        <f t="shared" si="11"/>
        <v>0</v>
      </c>
      <c r="P22" s="92"/>
      <c r="Q22" s="92">
        <f t="shared" si="12"/>
        <v>0</v>
      </c>
      <c r="R22" s="92">
        <f t="shared" si="7"/>
        <v>0</v>
      </c>
      <c r="S22" s="92">
        <f>IF(T21=0,MAX(S$12:S21)+1,MAX(S$12:S21))</f>
        <v>1</v>
      </c>
      <c r="T22" s="92">
        <f t="shared" si="17"/>
        <v>1</v>
      </c>
      <c r="U22" s="92"/>
      <c r="V22" s="92">
        <f t="shared" si="8"/>
        <v>0</v>
      </c>
      <c r="W22" s="92">
        <f>IF(AND(X21=0,X22&lt;&gt;0),MAX(W$12:W21)+1,MAX(W$12:W21))</f>
        <v>1</v>
      </c>
      <c r="X22" s="92">
        <f t="shared" si="14"/>
        <v>1</v>
      </c>
      <c r="Y22" s="92"/>
      <c r="Z22" s="92">
        <f t="shared" si="9"/>
        <v>0</v>
      </c>
      <c r="AA22" s="92">
        <f>IF(AND(AB21=0,AB22&lt;&gt;0),MAX(AA$12:AA21)+1,MAX(AA$12:AA21))</f>
        <v>1</v>
      </c>
      <c r="AB22" s="92">
        <f t="shared" si="15"/>
        <v>1</v>
      </c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</row>
    <row r="23" spans="1:54" s="94" customFormat="1" x14ac:dyDescent="0.3">
      <c r="A23" s="108">
        <f t="shared" si="16"/>
        <v>111</v>
      </c>
      <c r="B23" s="121"/>
      <c r="C23" s="121"/>
      <c r="D23" s="121"/>
      <c r="E23" s="121"/>
      <c r="F23" s="122"/>
      <c r="G23" s="109">
        <f t="shared" si="1"/>
        <v>0</v>
      </c>
      <c r="H23" s="92">
        <f t="shared" si="2"/>
        <v>0</v>
      </c>
      <c r="I23" s="92">
        <f t="shared" si="3"/>
        <v>0</v>
      </c>
      <c r="J23" s="92">
        <f t="shared" si="4"/>
        <v>0</v>
      </c>
      <c r="K23" s="92">
        <f t="shared" si="5"/>
        <v>0</v>
      </c>
      <c r="L23" s="92"/>
      <c r="M23" s="92">
        <f t="shared" si="10"/>
        <v>0</v>
      </c>
      <c r="N23" s="92">
        <f t="shared" si="6"/>
        <v>0</v>
      </c>
      <c r="O23" s="92">
        <f t="shared" si="11"/>
        <v>0</v>
      </c>
      <c r="P23" s="92"/>
      <c r="Q23" s="92">
        <f t="shared" si="12"/>
        <v>0</v>
      </c>
      <c r="R23" s="92">
        <f t="shared" si="7"/>
        <v>0</v>
      </c>
      <c r="S23" s="92">
        <f>IF(T22=0,MAX(S$12:S22)+1,MAX(S$12:S22))</f>
        <v>1</v>
      </c>
      <c r="T23" s="92">
        <f t="shared" si="17"/>
        <v>1</v>
      </c>
      <c r="U23" s="92"/>
      <c r="V23" s="92">
        <f t="shared" si="8"/>
        <v>0</v>
      </c>
      <c r="W23" s="92">
        <f>IF(AND(X22=0,X23&lt;&gt;0),MAX(W$12:W22)+1,MAX(W$12:W22))</f>
        <v>1</v>
      </c>
      <c r="X23" s="92">
        <f t="shared" si="14"/>
        <v>1</v>
      </c>
      <c r="Y23" s="92"/>
      <c r="Z23" s="92">
        <f t="shared" si="9"/>
        <v>0</v>
      </c>
      <c r="AA23" s="92">
        <f>IF(AND(AB22=0,AB23&lt;&gt;0),MAX(AA$12:AA22)+1,MAX(AA$12:AA22))</f>
        <v>1</v>
      </c>
      <c r="AB23" s="92">
        <f t="shared" si="15"/>
        <v>1</v>
      </c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</row>
    <row r="24" spans="1:54" s="94" customFormat="1" x14ac:dyDescent="0.3">
      <c r="A24" s="108">
        <f t="shared" si="16"/>
        <v>112</v>
      </c>
      <c r="B24" s="121"/>
      <c r="C24" s="121"/>
      <c r="D24" s="121"/>
      <c r="E24" s="121"/>
      <c r="F24" s="122"/>
      <c r="G24" s="109">
        <f t="shared" si="1"/>
        <v>0</v>
      </c>
      <c r="H24" s="92">
        <f t="shared" si="2"/>
        <v>0</v>
      </c>
      <c r="I24" s="92">
        <f t="shared" si="3"/>
        <v>0</v>
      </c>
      <c r="J24" s="92">
        <f t="shared" si="4"/>
        <v>0</v>
      </c>
      <c r="K24" s="92">
        <f t="shared" si="5"/>
        <v>0</v>
      </c>
      <c r="L24" s="92"/>
      <c r="M24" s="92">
        <f t="shared" si="10"/>
        <v>0</v>
      </c>
      <c r="N24" s="92">
        <f t="shared" si="6"/>
        <v>0</v>
      </c>
      <c r="O24" s="92">
        <f t="shared" si="11"/>
        <v>0</v>
      </c>
      <c r="P24" s="92"/>
      <c r="Q24" s="92">
        <f t="shared" si="12"/>
        <v>0</v>
      </c>
      <c r="R24" s="92">
        <f t="shared" si="7"/>
        <v>0</v>
      </c>
      <c r="S24" s="92">
        <f>IF(T23=0,MAX(S$12:S23)+1,MAX(S$12:S23))</f>
        <v>1</v>
      </c>
      <c r="T24" s="92">
        <f t="shared" si="17"/>
        <v>1</v>
      </c>
      <c r="U24" s="92"/>
      <c r="V24" s="92">
        <f t="shared" si="8"/>
        <v>0</v>
      </c>
      <c r="W24" s="92">
        <f>IF(AND(X23=0,X24&lt;&gt;0),MAX(W$12:W23)+1,MAX(W$12:W23))</f>
        <v>1</v>
      </c>
      <c r="X24" s="92">
        <f t="shared" si="14"/>
        <v>1</v>
      </c>
      <c r="Y24" s="92"/>
      <c r="Z24" s="92">
        <f t="shared" si="9"/>
        <v>0</v>
      </c>
      <c r="AA24" s="92">
        <f>IF(AND(AB23=0,AB24&lt;&gt;0),MAX(AA$12:AA23)+1,MAX(AA$12:AA23))</f>
        <v>1</v>
      </c>
      <c r="AB24" s="92">
        <f t="shared" si="15"/>
        <v>1</v>
      </c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</row>
    <row r="25" spans="1:54" s="94" customFormat="1" x14ac:dyDescent="0.3">
      <c r="A25" s="108">
        <f t="shared" si="16"/>
        <v>113</v>
      </c>
      <c r="B25" s="121"/>
      <c r="C25" s="121"/>
      <c r="D25" s="121"/>
      <c r="E25" s="121"/>
      <c r="F25" s="122"/>
      <c r="G25" s="109">
        <f t="shared" si="1"/>
        <v>0</v>
      </c>
      <c r="H25" s="92">
        <f t="shared" si="2"/>
        <v>0</v>
      </c>
      <c r="I25" s="92">
        <f t="shared" si="3"/>
        <v>0</v>
      </c>
      <c r="J25" s="92">
        <f t="shared" si="4"/>
        <v>0</v>
      </c>
      <c r="K25" s="92">
        <f t="shared" si="5"/>
        <v>0</v>
      </c>
      <c r="L25" s="92"/>
      <c r="M25" s="92">
        <f t="shared" si="10"/>
        <v>0</v>
      </c>
      <c r="N25" s="92">
        <f t="shared" si="6"/>
        <v>0</v>
      </c>
      <c r="O25" s="92">
        <f t="shared" si="11"/>
        <v>0</v>
      </c>
      <c r="P25" s="92"/>
      <c r="Q25" s="92">
        <f t="shared" si="12"/>
        <v>0</v>
      </c>
      <c r="R25" s="92">
        <f t="shared" si="7"/>
        <v>0</v>
      </c>
      <c r="S25" s="92">
        <f>IF(T24=0,MAX(S$12:S24)+1,MAX(S$12:S24))</f>
        <v>1</v>
      </c>
      <c r="T25" s="92">
        <f t="shared" si="17"/>
        <v>1</v>
      </c>
      <c r="U25" s="92"/>
      <c r="V25" s="92">
        <f t="shared" si="8"/>
        <v>0</v>
      </c>
      <c r="W25" s="92">
        <f>IF(AND(X24=0,X25&lt;&gt;0),MAX(W$12:W24)+1,MAX(W$12:W24))</f>
        <v>1</v>
      </c>
      <c r="X25" s="92">
        <f t="shared" si="14"/>
        <v>1</v>
      </c>
      <c r="Y25" s="92"/>
      <c r="Z25" s="92">
        <f t="shared" si="9"/>
        <v>0</v>
      </c>
      <c r="AA25" s="92">
        <f>IF(AND(AB24=0,AB25&lt;&gt;0),MAX(AA$12:AA24)+1,MAX(AA$12:AA24))</f>
        <v>1</v>
      </c>
      <c r="AB25" s="92">
        <f t="shared" si="15"/>
        <v>1</v>
      </c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</row>
    <row r="26" spans="1:54" s="94" customFormat="1" x14ac:dyDescent="0.3">
      <c r="A26" s="108">
        <f t="shared" si="16"/>
        <v>114</v>
      </c>
      <c r="B26" s="121"/>
      <c r="C26" s="121"/>
      <c r="D26" s="121"/>
      <c r="E26" s="121"/>
      <c r="F26" s="122"/>
      <c r="G26" s="109">
        <f t="shared" si="1"/>
        <v>0</v>
      </c>
      <c r="H26" s="92">
        <f t="shared" si="2"/>
        <v>0</v>
      </c>
      <c r="I26" s="92">
        <f t="shared" si="3"/>
        <v>0</v>
      </c>
      <c r="J26" s="92">
        <f t="shared" si="4"/>
        <v>0</v>
      </c>
      <c r="K26" s="92">
        <f t="shared" si="5"/>
        <v>0</v>
      </c>
      <c r="L26" s="92"/>
      <c r="M26" s="92">
        <f t="shared" si="10"/>
        <v>0</v>
      </c>
      <c r="N26" s="92">
        <f t="shared" si="6"/>
        <v>0</v>
      </c>
      <c r="O26" s="92">
        <f t="shared" si="11"/>
        <v>0</v>
      </c>
      <c r="P26" s="92"/>
      <c r="Q26" s="92">
        <f t="shared" si="12"/>
        <v>0</v>
      </c>
      <c r="R26" s="92">
        <f t="shared" si="7"/>
        <v>0</v>
      </c>
      <c r="S26" s="92">
        <f>IF(T25=0,MAX(S$12:S25)+1,MAX(S$12:S25))</f>
        <v>1</v>
      </c>
      <c r="T26" s="92">
        <f t="shared" si="17"/>
        <v>1</v>
      </c>
      <c r="U26" s="92"/>
      <c r="V26" s="92">
        <f t="shared" si="8"/>
        <v>0</v>
      </c>
      <c r="W26" s="92">
        <f>IF(AND(X25=0,X26&lt;&gt;0),MAX(W$12:W25)+1,MAX(W$12:W25))</f>
        <v>1</v>
      </c>
      <c r="X26" s="92">
        <f t="shared" si="14"/>
        <v>1</v>
      </c>
      <c r="Y26" s="92"/>
      <c r="Z26" s="92">
        <f t="shared" si="9"/>
        <v>0</v>
      </c>
      <c r="AA26" s="92">
        <f>IF(AND(AB25=0,AB26&lt;&gt;0),MAX(AA$12:AA25)+1,MAX(AA$12:AA25))</f>
        <v>1</v>
      </c>
      <c r="AB26" s="92">
        <f t="shared" si="15"/>
        <v>1</v>
      </c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</row>
    <row r="27" spans="1:54" s="94" customFormat="1" x14ac:dyDescent="0.3">
      <c r="A27" s="108">
        <f t="shared" si="16"/>
        <v>115</v>
      </c>
      <c r="B27" s="121"/>
      <c r="C27" s="121"/>
      <c r="D27" s="121"/>
      <c r="E27" s="121"/>
      <c r="F27" s="122"/>
      <c r="G27" s="109">
        <f t="shared" si="1"/>
        <v>0</v>
      </c>
      <c r="H27" s="92">
        <f t="shared" si="2"/>
        <v>0</v>
      </c>
      <c r="I27" s="92">
        <f t="shared" si="3"/>
        <v>0</v>
      </c>
      <c r="J27" s="92">
        <f t="shared" si="4"/>
        <v>0</v>
      </c>
      <c r="K27" s="92">
        <f t="shared" si="5"/>
        <v>0</v>
      </c>
      <c r="L27" s="92"/>
      <c r="M27" s="92">
        <f t="shared" si="10"/>
        <v>0</v>
      </c>
      <c r="N27" s="92">
        <f t="shared" si="6"/>
        <v>0</v>
      </c>
      <c r="O27" s="92">
        <f t="shared" si="11"/>
        <v>0</v>
      </c>
      <c r="P27" s="92"/>
      <c r="Q27" s="92">
        <f t="shared" si="12"/>
        <v>0</v>
      </c>
      <c r="R27" s="92">
        <f t="shared" si="7"/>
        <v>0</v>
      </c>
      <c r="S27" s="92">
        <f>IF(T26=0,MAX(S$12:S26)+1,MAX(S$12:S26))</f>
        <v>1</v>
      </c>
      <c r="T27" s="92">
        <f t="shared" si="17"/>
        <v>1</v>
      </c>
      <c r="U27" s="92"/>
      <c r="V27" s="92">
        <f t="shared" si="8"/>
        <v>0</v>
      </c>
      <c r="W27" s="92">
        <f>IF(AND(X26=0,X27&lt;&gt;0),MAX(W$12:W26)+1,MAX(W$12:W26))</f>
        <v>1</v>
      </c>
      <c r="X27" s="92">
        <f t="shared" si="14"/>
        <v>1</v>
      </c>
      <c r="Y27" s="92"/>
      <c r="Z27" s="92">
        <f t="shared" si="9"/>
        <v>0</v>
      </c>
      <c r="AA27" s="92">
        <f>IF(AND(AB26=0,AB27&lt;&gt;0),MAX(AA$12:AA26)+1,MAX(AA$12:AA26))</f>
        <v>1</v>
      </c>
      <c r="AB27" s="92">
        <f t="shared" si="15"/>
        <v>1</v>
      </c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</row>
    <row r="28" spans="1:54" s="94" customFormat="1" x14ac:dyDescent="0.3">
      <c r="A28" s="108">
        <f t="shared" si="16"/>
        <v>116</v>
      </c>
      <c r="B28" s="121"/>
      <c r="C28" s="121"/>
      <c r="D28" s="121"/>
      <c r="E28" s="121"/>
      <c r="F28" s="122"/>
      <c r="G28" s="109">
        <f t="shared" si="1"/>
        <v>0</v>
      </c>
      <c r="H28" s="92">
        <f t="shared" si="2"/>
        <v>0</v>
      </c>
      <c r="I28" s="92">
        <f t="shared" si="3"/>
        <v>0</v>
      </c>
      <c r="J28" s="92">
        <f t="shared" si="4"/>
        <v>0</v>
      </c>
      <c r="K28" s="92">
        <f t="shared" si="5"/>
        <v>0</v>
      </c>
      <c r="L28" s="92"/>
      <c r="M28" s="92">
        <f t="shared" si="10"/>
        <v>0</v>
      </c>
      <c r="N28" s="92">
        <f t="shared" si="6"/>
        <v>0</v>
      </c>
      <c r="O28" s="92">
        <f t="shared" si="11"/>
        <v>0</v>
      </c>
      <c r="P28" s="92"/>
      <c r="Q28" s="92">
        <f t="shared" si="12"/>
        <v>0</v>
      </c>
      <c r="R28" s="92">
        <f t="shared" si="7"/>
        <v>0</v>
      </c>
      <c r="S28" s="92">
        <f>IF(T27=0,MAX(S$12:S27)+1,MAX(S$12:S27))</f>
        <v>1</v>
      </c>
      <c r="T28" s="92">
        <f t="shared" si="17"/>
        <v>1</v>
      </c>
      <c r="U28" s="92"/>
      <c r="V28" s="92">
        <f t="shared" si="8"/>
        <v>0</v>
      </c>
      <c r="W28" s="92">
        <f>IF(AND(X27=0,X28&lt;&gt;0),MAX(W$12:W27)+1,MAX(W$12:W27))</f>
        <v>1</v>
      </c>
      <c r="X28" s="92">
        <f t="shared" si="14"/>
        <v>1</v>
      </c>
      <c r="Y28" s="92"/>
      <c r="Z28" s="92">
        <f t="shared" si="9"/>
        <v>0</v>
      </c>
      <c r="AA28" s="92">
        <f>IF(AND(AB27=0,AB28&lt;&gt;0),MAX(AA$12:AA27)+1,MAX(AA$12:AA27))</f>
        <v>1</v>
      </c>
      <c r="AB28" s="92">
        <f t="shared" si="15"/>
        <v>1</v>
      </c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</row>
    <row r="29" spans="1:54" s="94" customFormat="1" x14ac:dyDescent="0.3">
      <c r="A29" s="108">
        <f t="shared" si="16"/>
        <v>117</v>
      </c>
      <c r="B29" s="121"/>
      <c r="C29" s="121"/>
      <c r="D29" s="121"/>
      <c r="E29" s="121"/>
      <c r="F29" s="122"/>
      <c r="G29" s="109">
        <f t="shared" si="1"/>
        <v>0</v>
      </c>
      <c r="H29" s="92">
        <f t="shared" si="2"/>
        <v>0</v>
      </c>
      <c r="I29" s="92">
        <f t="shared" si="3"/>
        <v>0</v>
      </c>
      <c r="J29" s="92">
        <f t="shared" si="4"/>
        <v>0</v>
      </c>
      <c r="K29" s="92">
        <f t="shared" si="5"/>
        <v>0</v>
      </c>
      <c r="L29" s="92"/>
      <c r="M29" s="92">
        <f t="shared" si="10"/>
        <v>0</v>
      </c>
      <c r="N29" s="92">
        <f t="shared" si="6"/>
        <v>0</v>
      </c>
      <c r="O29" s="92">
        <f t="shared" si="11"/>
        <v>0</v>
      </c>
      <c r="P29" s="92"/>
      <c r="Q29" s="92">
        <f t="shared" si="12"/>
        <v>0</v>
      </c>
      <c r="R29" s="92">
        <f t="shared" si="7"/>
        <v>0</v>
      </c>
      <c r="S29" s="92">
        <f>IF(T28=0,MAX(S$12:S28)+1,MAX(S$12:S28))</f>
        <v>1</v>
      </c>
      <c r="T29" s="92">
        <f t="shared" si="17"/>
        <v>1</v>
      </c>
      <c r="U29" s="92"/>
      <c r="V29" s="92">
        <f t="shared" si="8"/>
        <v>0</v>
      </c>
      <c r="W29" s="92">
        <f>IF(AND(X28=0,X29&lt;&gt;0),MAX(W$12:W28)+1,MAX(W$12:W28))</f>
        <v>1</v>
      </c>
      <c r="X29" s="92">
        <f t="shared" si="14"/>
        <v>1</v>
      </c>
      <c r="Y29" s="92"/>
      <c r="Z29" s="92">
        <f t="shared" ref="Z29:Z32" si="18">IF(V29=0,0,IF(AB29&lt;&gt;AB28,0,IF(SUM(F29:I29)=0,0,1)))</f>
        <v>0</v>
      </c>
      <c r="AA29" s="92">
        <f>IF(AND(AB28=0,AB29&lt;&gt;0),MAX(AA$12:AA28)+1,MAX(AA$12:AA28))</f>
        <v>1</v>
      </c>
      <c r="AB29" s="92">
        <f t="shared" si="15"/>
        <v>1</v>
      </c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</row>
    <row r="30" spans="1:54" s="94" customFormat="1" x14ac:dyDescent="0.3">
      <c r="A30" s="108">
        <f t="shared" si="16"/>
        <v>118</v>
      </c>
      <c r="B30" s="121"/>
      <c r="C30" s="121"/>
      <c r="D30" s="121"/>
      <c r="E30" s="121"/>
      <c r="F30" s="122"/>
      <c r="G30" s="109">
        <f t="shared" si="1"/>
        <v>0</v>
      </c>
      <c r="H30" s="92">
        <f t="shared" si="2"/>
        <v>0</v>
      </c>
      <c r="I30" s="92">
        <f t="shared" si="3"/>
        <v>0</v>
      </c>
      <c r="J30" s="92">
        <f t="shared" si="4"/>
        <v>0</v>
      </c>
      <c r="K30" s="92">
        <f t="shared" si="5"/>
        <v>0</v>
      </c>
      <c r="L30" s="92"/>
      <c r="M30" s="92">
        <f t="shared" si="10"/>
        <v>0</v>
      </c>
      <c r="N30" s="92">
        <f t="shared" si="6"/>
        <v>0</v>
      </c>
      <c r="O30" s="92">
        <f t="shared" si="11"/>
        <v>0</v>
      </c>
      <c r="P30" s="92"/>
      <c r="Q30" s="92">
        <f t="shared" si="12"/>
        <v>0</v>
      </c>
      <c r="R30" s="92">
        <f t="shared" si="7"/>
        <v>0</v>
      </c>
      <c r="S30" s="92">
        <f>IF(T29=0,MAX(S$12:S29)+1,MAX(S$12:S29))</f>
        <v>1</v>
      </c>
      <c r="T30" s="92">
        <f t="shared" si="17"/>
        <v>1</v>
      </c>
      <c r="U30" s="92"/>
      <c r="V30" s="92">
        <f t="shared" si="8"/>
        <v>0</v>
      </c>
      <c r="W30" s="92">
        <f>IF(AND(X29=0,X30&lt;&gt;0),MAX(W$12:W29)+1,MAX(W$12:W29))</f>
        <v>1</v>
      </c>
      <c r="X30" s="92">
        <f t="shared" si="14"/>
        <v>1</v>
      </c>
      <c r="Y30" s="92"/>
      <c r="Z30" s="92">
        <f t="shared" si="18"/>
        <v>0</v>
      </c>
      <c r="AA30" s="92">
        <f>IF(AND(AB29=0,AB30&lt;&gt;0),MAX(AA$12:AA29)+1,MAX(AA$12:AA29))</f>
        <v>1</v>
      </c>
      <c r="AB30" s="92">
        <f t="shared" si="15"/>
        <v>1</v>
      </c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</row>
    <row r="31" spans="1:54" s="94" customFormat="1" x14ac:dyDescent="0.3">
      <c r="A31" s="108">
        <f t="shared" si="16"/>
        <v>119</v>
      </c>
      <c r="B31" s="121"/>
      <c r="C31" s="121"/>
      <c r="D31" s="121"/>
      <c r="E31" s="121"/>
      <c r="F31" s="122"/>
      <c r="G31" s="109">
        <f t="shared" si="1"/>
        <v>0</v>
      </c>
      <c r="H31" s="92">
        <f t="shared" si="2"/>
        <v>0</v>
      </c>
      <c r="I31" s="92">
        <f t="shared" si="3"/>
        <v>0</v>
      </c>
      <c r="J31" s="92">
        <f t="shared" si="4"/>
        <v>0</v>
      </c>
      <c r="K31" s="92">
        <f t="shared" si="5"/>
        <v>0</v>
      </c>
      <c r="L31" s="92"/>
      <c r="M31" s="92">
        <f t="shared" si="10"/>
        <v>0</v>
      </c>
      <c r="N31" s="92">
        <f t="shared" si="6"/>
        <v>0</v>
      </c>
      <c r="O31" s="92">
        <f t="shared" si="11"/>
        <v>0</v>
      </c>
      <c r="P31" s="92"/>
      <c r="Q31" s="92">
        <f t="shared" si="12"/>
        <v>0</v>
      </c>
      <c r="R31" s="92">
        <f t="shared" si="7"/>
        <v>0</v>
      </c>
      <c r="S31" s="92">
        <f>IF(T30=0,MAX(S$12:S30)+1,MAX(S$12:S30))</f>
        <v>1</v>
      </c>
      <c r="T31" s="92">
        <f t="shared" si="17"/>
        <v>1</v>
      </c>
      <c r="U31" s="92"/>
      <c r="V31" s="92">
        <f t="shared" si="8"/>
        <v>0</v>
      </c>
      <c r="W31" s="92">
        <f>IF(AND(X30=0,X31&lt;&gt;0),MAX(W$12:W30)+1,MAX(W$12:W30))</f>
        <v>1</v>
      </c>
      <c r="X31" s="92">
        <f t="shared" si="14"/>
        <v>1</v>
      </c>
      <c r="Y31" s="92"/>
      <c r="Z31" s="92">
        <f t="shared" si="18"/>
        <v>0</v>
      </c>
      <c r="AA31" s="92">
        <f>IF(AND(AB30=0,AB31&lt;&gt;0),MAX(AA$12:AA30)+1,MAX(AA$12:AA30))</f>
        <v>1</v>
      </c>
      <c r="AB31" s="92">
        <f t="shared" si="15"/>
        <v>1</v>
      </c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</row>
    <row r="32" spans="1:54" s="94" customFormat="1" x14ac:dyDescent="0.3">
      <c r="A32" s="110">
        <f t="shared" si="16"/>
        <v>120</v>
      </c>
      <c r="B32" s="121"/>
      <c r="C32" s="121"/>
      <c r="D32" s="121"/>
      <c r="E32" s="121"/>
      <c r="F32" s="122"/>
      <c r="G32" s="109">
        <f t="shared" ref="G32" si="19">IF($C$3="Дротова",0,ROUNDUP(F32/2,0))</f>
        <v>0</v>
      </c>
      <c r="H32" s="92">
        <f t="shared" ref="H32" si="20">COUNTIF(B32:E32,"&gt;0")+COUNTIF(G32,"&gt;0")-SUMPRODUCT((B32&gt;0)*(C32&gt;0))-SUMPRODUCT((D32&gt;0)*(E32&gt;0))</f>
        <v>0</v>
      </c>
      <c r="I32" s="92">
        <f t="shared" si="3"/>
        <v>0</v>
      </c>
      <c r="J32" s="92">
        <f t="shared" si="4"/>
        <v>0</v>
      </c>
      <c r="K32" s="92">
        <f t="shared" si="5"/>
        <v>0</v>
      </c>
      <c r="L32" s="92"/>
      <c r="M32" s="92">
        <f t="shared" si="10"/>
        <v>0</v>
      </c>
      <c r="N32" s="92">
        <f t="shared" si="6"/>
        <v>0</v>
      </c>
      <c r="O32" s="92">
        <f t="shared" si="11"/>
        <v>0</v>
      </c>
      <c r="P32" s="92"/>
      <c r="Q32" s="92">
        <f t="shared" si="12"/>
        <v>0</v>
      </c>
      <c r="R32" s="92">
        <f t="shared" si="7"/>
        <v>0</v>
      </c>
      <c r="S32" s="92">
        <f>IF(T31=0,MAX(S$12:S31)+1,MAX(S$12:S31))</f>
        <v>1</v>
      </c>
      <c r="T32" s="92">
        <f t="shared" si="17"/>
        <v>1</v>
      </c>
      <c r="U32" s="92"/>
      <c r="V32" s="92">
        <f t="shared" si="8"/>
        <v>0</v>
      </c>
      <c r="W32" s="92">
        <f>IF(AND(X31=0,X32&lt;&gt;0),MAX(W$12:W31)+1,MAX(W$12:W31))</f>
        <v>1</v>
      </c>
      <c r="X32" s="92">
        <f t="shared" si="14"/>
        <v>1</v>
      </c>
      <c r="Y32" s="92"/>
      <c r="Z32" s="92">
        <f t="shared" si="18"/>
        <v>0</v>
      </c>
      <c r="AA32" s="92">
        <f>IF(AND(AB31=0,AB32&lt;&gt;0),MAX(AA$12:AA31)+1,MAX(AA$12:AA31))</f>
        <v>1</v>
      </c>
      <c r="AB32" s="92">
        <f t="shared" si="15"/>
        <v>1</v>
      </c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</row>
    <row r="33" spans="1:68" s="92" customFormat="1" x14ac:dyDescent="0.3">
      <c r="B33" s="109">
        <f>SUBTOTAL(9,B13:B32)</f>
        <v>9</v>
      </c>
      <c r="C33" s="109">
        <f>SUBTOTAL(9,C13:C32)</f>
        <v>0</v>
      </c>
      <c r="D33" s="109">
        <f>SUBTOTAL(9,D13:D32)</f>
        <v>4</v>
      </c>
      <c r="E33" s="109">
        <f>SUBTOTAL(9,E13:E32)</f>
        <v>0</v>
      </c>
      <c r="F33" s="109">
        <f>SUBTOTAL(9,F13:F32)</f>
        <v>0</v>
      </c>
      <c r="G33" s="109">
        <f>SUM(G13:G32)</f>
        <v>0</v>
      </c>
      <c r="Q33" s="92">
        <f t="shared" si="12"/>
        <v>13</v>
      </c>
      <c r="R33" s="92">
        <f t="array" ref="R33">MIN(IF(R13:R32=1,Q13:Q32))</f>
        <v>0</v>
      </c>
      <c r="T33" s="92">
        <f>SUMPRODUCT(R13:R32,$Q13:$Q32)</f>
        <v>0</v>
      </c>
      <c r="X33" s="92">
        <f>SUMPRODUCT(V13:V32,$Q13:$Q32)</f>
        <v>0</v>
      </c>
    </row>
    <row r="34" spans="1:68" s="92" customFormat="1" x14ac:dyDescent="0.3">
      <c r="A34" s="109">
        <f t="array" aca="1" ref="A34" ca="1">SUM(LARGE(B13:B32,ROW(INDIRECT("a1:a"&amp;ROUNDUP(COUNTIF(B13:B32,"&gt;0")/2,0)))))</f>
        <v>6</v>
      </c>
      <c r="B34" s="109">
        <f t="array" ref="B34">SUM(IF(($S$13:$S$32=1)*(B$13:B$32&gt;0)*($R$13:$R$32=0)+(B$13:B$32&gt;0)*($W$13:$W$32=1)*($V$13:$V$32&lt;&gt;$R$13:$R$32)+(B$13:B$32&gt;0)*($Z$13:$Z$32&lt;&gt;$V$13:$V$32)*($AA$13:$AA$32=1),B$13:B$32,0))</f>
        <v>9</v>
      </c>
      <c r="C34" s="109">
        <f t="array" ref="C34">SUM(IF(($S$13:$S$32=1)*(C$13:C$32&gt;0)*($R$13:$R$32=0)+(C$13:C$32&gt;0)*($W$13:$W$32=1)*($V$13:$V$32&lt;&gt;$R$13:$R$32)+(C$13:C$32&gt;0)*($Z$13:$Z$32&lt;&gt;$V$13:$V$32)*($AA$13:$AA$32=1),C$13:C$32,0))</f>
        <v>0</v>
      </c>
      <c r="D34" s="109">
        <f t="array" ref="D34">SUM(IF(($S$13:$S$32=1)*(D$13:D$32&gt;0)*($R$13:$R$32=0)+(D$13:D$32&gt;0)*($W$13:$W$32=1)*($V$13:$V$32&lt;&gt;$R$13:$R$32)+(D$13:D$32&gt;0)*($Z$13:$Z$32&lt;&gt;$V$13:$V$32)*($AA$13:$AA$32=1),D$13:D$32,0))</f>
        <v>4</v>
      </c>
      <c r="E34" s="109">
        <f t="array" ref="E34">SUM(IF(($S$13:$S$32=1)*(E$13:E$32&gt;0)*($R$13:$R$32=0)+(E$13:E$32&gt;0)*($W$13:$W$32=1)*($V$13:$V$32&lt;&gt;$R$13:$R$32)+(E$13:E$32&gt;0)*($Z$13:$Z$32&lt;&gt;$V$13:$V$32)*($AA$13:$AA$32=1),E$13:E$32,0))</f>
        <v>0</v>
      </c>
      <c r="F34" s="109">
        <f t="array" ref="F34">SUM(IF(($S$13:$S$32=1)*(F$13:F$32&gt;0)*($R$13:$R$32=0)+(F$13:F$32&gt;0)*($W$13:$W$32=1)*($V$13:$V$32&lt;&gt;$R$13:$R$32)+(F$13:F$32&gt;0)*($Z$13:$Z$32&lt;&gt;$V$13:$V$32)*($AA$13:$AA$32=1),F$13:F$32,0))</f>
        <v>0</v>
      </c>
      <c r="G34" s="109">
        <f t="array" ref="G34">SUM(IF(($S$13:$S$32=1)*(G$13:G$32&gt;0)*($R$13:$R$32=0)+(G$13:G$32&gt;0)*($W$13:$W$32=1)*($V$13:$V$32&lt;&gt;$R$13:$R$32)+(G$13:G$32&gt;0)*($Z$13:$Z$32&lt;&gt;$V$13:$V$32)*($AA$13:$AA$32=1),G$13:G$32,0))</f>
        <v>0</v>
      </c>
      <c r="Q34" s="92">
        <f t="shared" si="12"/>
        <v>13</v>
      </c>
    </row>
    <row r="35" spans="1:68" s="92" customFormat="1" x14ac:dyDescent="0.3">
      <c r="A35" s="109">
        <f>IF(B33&lt;=14,B33,B34)</f>
        <v>9</v>
      </c>
      <c r="B35" s="109">
        <f t="array" ref="B35">SUM(IF(($S$13:$S$32=2)*(B$13:B$32&gt;0)*($R$13:$R$32=0)+(B$13:B$32&gt;0)*($W$13:$W$32=2)*($V$13:$V$32&lt;&gt;$R$13:$R$32)+(B$13:B$32&gt;0)*($Z$13:$Z$32&lt;&gt;$V$13:$V$32)*($AA$13:$AA$32=2),B$13:B$32,0))</f>
        <v>0</v>
      </c>
      <c r="C35" s="109">
        <f t="array" ref="C35">SUM(IF(($S$13:$S$32=2)*(C$13:C$32&gt;0)*($R$13:$R$32=0)+(C$13:C$32&gt;0)*($W$13:$W$32=2)*($V$13:$V$32&lt;&gt;$R$13:$R$32)+(C$13:C$32&gt;0)*($Z$13:$Z$32&lt;&gt;$V$13:$V$32)*($AA$13:$AA$32=2),C$13:C$32,0))</f>
        <v>0</v>
      </c>
      <c r="D35" s="109">
        <f t="array" ref="D35">SUM(IF(($S$13:$S$32=2)*(D$13:D$32&gt;0)*($R$13:$R$32=0)+(D$13:D$32&gt;0)*($W$13:$W$32=2)*($V$13:$V$32&lt;&gt;$R$13:$R$32)+(D$13:D$32&gt;0)*($Z$13:$Z$32&lt;&gt;$V$13:$V$32)*($AA$13:$AA$32=2),D$13:D$32,0))</f>
        <v>0</v>
      </c>
      <c r="E35" s="109">
        <f t="array" ref="E35">SUM(IF(($S$13:$S$32=2)*(E$13:E$32&gt;0)*($R$13:$R$32=0)+(E$13:E$32&gt;0)*($W$13:$W$32=2)*($V$13:$V$32&lt;&gt;$R$13:$R$32)+(E$13:E$32&gt;0)*($Z$13:$Z$32&lt;&gt;$V$13:$V$32)*($AA$13:$AA$32=2),E$13:E$32,0))</f>
        <v>0</v>
      </c>
      <c r="F35" s="109">
        <f t="array" ref="F35">SUM(IF(($S$13:$S$32=2)*(F$13:F$32&gt;0)*($R$13:$R$32=0)+(F$13:F$32&gt;0)*($W$13:$W$32=2)*($V$13:$V$32&lt;&gt;$R$13:$R$32)+(F$13:F$32&gt;0)*($Z$13:$Z$32&lt;&gt;$V$13:$V$32)*($AA$13:$AA$32=2),F$13:F$32,0))</f>
        <v>0</v>
      </c>
      <c r="G35" s="109">
        <f t="array" ref="G35">SUM(IF(($S$13:$S$32=2)*(G$13:G$32&gt;0)*($R$13:$R$32=0)+(G$13:G$32&gt;0)*($W$13:$W$32=2)*($V$13:$V$32&lt;&gt;$R$13:$R$32)+(G$13:G$32&gt;0)*($Z$13:$Z$32&lt;&gt;$V$13:$V$32)*($AA$13:$AA$32=2),G$13:G$32,0))</f>
        <v>0</v>
      </c>
      <c r="Q35" s="92">
        <f t="shared" si="12"/>
        <v>0</v>
      </c>
    </row>
    <row r="36" spans="1:68" s="92" customFormat="1" x14ac:dyDescent="0.3">
      <c r="A36" s="109">
        <f>IF(C33&lt;=14,C33,C34)</f>
        <v>0</v>
      </c>
      <c r="B36" s="109">
        <f t="array" ref="B36">SUM(IF(($S$13:$S$32=3)*(B$13:B$32&gt;0)*($R$13:$R$32=0)+(B$13:B$32&gt;0)*($W$13:$W$32=3)*($V$13:$V$32&lt;&gt;$R$13:$R$32)+(B$13:B$32&gt;0)*($Z$13:$Z$32&lt;&gt;$V$13:$V$32)*($AA$13:$AA$32=3),B$13:B$32,0))</f>
        <v>0</v>
      </c>
      <c r="C36" s="109">
        <f t="array" ref="C36">SUM(IF(($S$13:$S$32=3)*(C$13:C$32&gt;0)*($R$13:$R$32=0)+(C$13:C$32&gt;0)*($W$13:$W$32=3)*($V$13:$V$32&lt;&gt;$R$13:$R$32)+(C$13:C$32&gt;0)*($Z$13:$Z$32&lt;&gt;$V$13:$V$32)*($AA$13:$AA$32=3),C$13:C$32,0))</f>
        <v>0</v>
      </c>
      <c r="D36" s="109">
        <f t="array" ref="D36">SUM(IF(($S$13:$S$32=3)*(D$13:D$32&gt;0)*($R$13:$R$32=0)+(D$13:D$32&gt;0)*($W$13:$W$32=3)*($V$13:$V$32&lt;&gt;$R$13:$R$32)+(D$13:D$32&gt;0)*($Z$13:$Z$32&lt;&gt;$V$13:$V$32)*($AA$13:$AA$32=3),D$13:D$32,0))</f>
        <v>0</v>
      </c>
      <c r="E36" s="109">
        <f t="array" ref="E36">SUM(IF(($S$13:$S$32=3)*(E$13:E$32&gt;0)*($R$13:$R$32=0)+(E$13:E$32&gt;0)*($W$13:$W$32=3)*($V$13:$V$32&lt;&gt;$R$13:$R$32)+(E$13:E$32&gt;0)*($Z$13:$Z$32&lt;&gt;$V$13:$V$32)*($AA$13:$AA$32=3),E$13:E$32,0))</f>
        <v>0</v>
      </c>
      <c r="F36" s="109">
        <f t="array" ref="F36">SUM(IF(($S$13:$S$32=3)*(F$13:F$32&gt;0)*($R$13:$R$32=0)+(F$13:F$32&gt;0)*($W$13:$W$32=3)*($V$13:$V$32&lt;&gt;$R$13:$R$32)+(F$13:F$32&gt;0)*($Z$13:$Z$32&lt;&gt;$V$13:$V$32)*($AA$13:$AA$32=3),F$13:F$32,0))</f>
        <v>0</v>
      </c>
      <c r="G36" s="109">
        <f t="array" ref="G36">SUM(IF(($S$13:$S$32=3)*(G$13:G$32&gt;0)*($R$13:$R$32=0)+(G$13:G$32&gt;0)*($W$13:$W$32=3)*($V$13:$V$32&lt;&gt;$R$13:$R$32)+(G$13:G$32&gt;0)*($Z$13:$Z$32&lt;&gt;$V$13:$V$32)*($AA$13:$AA$32=3),G$13:G$32,0))</f>
        <v>0</v>
      </c>
      <c r="Q36" s="92">
        <f t="shared" si="12"/>
        <v>0</v>
      </c>
    </row>
    <row r="37" spans="1:68" s="92" customFormat="1" x14ac:dyDescent="0.3">
      <c r="B37" s="109">
        <f t="array" ref="B37">SUM(IF(($S$13:$S$32=4)*(B$13:B$32&gt;0)*($R$13:$R$32=0)+(B$13:B$32&gt;0)*($W$13:$W$32=4)*($V$13:$V$32&lt;&gt;$R$13:$R$32)+(B$13:B$32&gt;0)*($Z$13:$Z$32&lt;&gt;$V$13:$V$32)*($AA$13:$AA$32=4),B$13:B$32,0))</f>
        <v>0</v>
      </c>
      <c r="C37" s="109">
        <f t="array" ref="C37">SUM(IF(($S$13:$S$32=4)*(C$13:C$32&gt;0)*($R$13:$R$32=0)+(C$13:C$32&gt;0)*($W$13:$W$32=4)*($V$13:$V$32&lt;&gt;$R$13:$R$32)+(C$13:C$32&gt;0)*($Z$13:$Z$32&lt;&gt;$V$13:$V$32)*($AA$13:$AA$32=4),C$13:C$32,0))</f>
        <v>0</v>
      </c>
      <c r="D37" s="109">
        <f t="array" ref="D37">SUM(IF(($S$13:$S$32=4)*(D$13:D$32&gt;0)*($R$13:$R$32=0)+(D$13:D$32&gt;0)*($W$13:$W$32=4)*($V$13:$V$32&lt;&gt;$R$13:$R$32)+(D$13:D$32&gt;0)*($Z$13:$Z$32&lt;&gt;$V$13:$V$32)*($AA$13:$AA$32=4),D$13:D$32,0))</f>
        <v>0</v>
      </c>
      <c r="E37" s="109">
        <f t="array" ref="E37">SUM(IF(($S$13:$S$32=4)*(E$13:E$32&gt;0)*($R$13:$R$32=0)+(E$13:E$32&gt;0)*($W$13:$W$32=4)*($V$13:$V$32&lt;&gt;$R$13:$R$32)+(E$13:E$32&gt;0)*($Z$13:$Z$32&lt;&gt;$V$13:$V$32)*($AA$13:$AA$32=4),E$13:E$32,0))</f>
        <v>0</v>
      </c>
      <c r="F37" s="109">
        <f t="array" ref="F37">SUM(IF(($S$13:$S$32=4)*(F$13:F$32&gt;0)*($R$13:$R$32=0)+(F$13:F$32&gt;0)*($W$13:$W$32=4)*($V$13:$V$32&lt;&gt;$R$13:$R$32)+(F$13:F$32&gt;0)*($Z$13:$Z$32&lt;&gt;$V$13:$V$32)*($AA$13:$AA$32=4),F$13:F$32,0))</f>
        <v>0</v>
      </c>
      <c r="G37" s="109">
        <f t="array" ref="G37">SUM(IF(($S$13:$S$32=4)*(G$13:G$32&gt;0)*($R$13:$R$32=0)+(G$13:G$32&gt;0)*($W$13:$W$32=4)*($V$13:$V$32&lt;&gt;$R$13:$R$32)+(G$13:G$32&gt;0)*($Z$13:$Z$32&lt;&gt;$V$13:$V$32)*($AA$13:$AA$32=4),G$13:G$32,0))</f>
        <v>0</v>
      </c>
      <c r="Q37" s="92">
        <f t="shared" si="12"/>
        <v>0</v>
      </c>
    </row>
    <row r="38" spans="1:68" s="92" customFormat="1" x14ac:dyDescent="0.3">
      <c r="B38" s="111">
        <f>(SUMPRODUCT((B34:B37&gt;0)*(C34:C37&gt;0))*SUMPRODUCT((B13:B32&gt;0)*(C13:C32&gt;0))&gt;0)*(1+(B33&gt;A35))</f>
        <v>0</v>
      </c>
      <c r="C38" s="109"/>
      <c r="D38" s="111">
        <f>(SUMPRODUCT((D34:D37&gt;0)*(E34:E37&gt;0))*SUMPRODUCT((D13:D32&gt;0)*(E13:E32&gt;0))&gt;0)*1</f>
        <v>0</v>
      </c>
      <c r="E38" s="109"/>
      <c r="F38" s="109"/>
      <c r="G38" s="109"/>
    </row>
    <row r="39" spans="1:68" s="41" customFormat="1" x14ac:dyDescent="0.3">
      <c r="A39" s="157" t="s">
        <v>60</v>
      </c>
      <c r="B39" s="158"/>
      <c r="C39" s="158"/>
      <c r="D39" s="158"/>
      <c r="E39" s="158"/>
      <c r="F39" s="159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</row>
    <row r="40" spans="1:68" s="41" customFormat="1" ht="30.75" customHeight="1" x14ac:dyDescent="0.3">
      <c r="A40" s="112"/>
      <c r="B40" s="160" t="s">
        <v>21</v>
      </c>
      <c r="C40" s="161">
        <f>COUNTIF(I41:AV41,"=1")</f>
        <v>9</v>
      </c>
      <c r="D40" s="98" t="s">
        <v>22</v>
      </c>
      <c r="E40" s="96"/>
      <c r="F40" s="100" t="s">
        <v>20</v>
      </c>
      <c r="G40" s="92"/>
      <c r="H40" s="92"/>
      <c r="I40" s="92">
        <f>IF(INDEX($R44:$R63,MATCH(I42,$A44:$A63,0))=0,INDEX($S44:$S63,MATCH(I42,$A44:$A63,0)),IF(INDEX($V44:$V63,MATCH(I42,$A44:$A63,0))=0,INDEX($W44:$W63,MATCH(I42,$A44:$A63,0)),IF(INDEX($Z44:$Z63,MATCH(I42,$A44:$A63,0))=0,INDEX($AA44:$AA63,MATCH(I42,$A44:$A63,0)),"")))</f>
        <v>1</v>
      </c>
      <c r="J40" s="92">
        <f t="shared" ref="J40" si="21">IF(INDEX($R44:$R63,MATCH(J42,$A44:$A63,0))=0,INDEX($S44:$S63,MATCH(J42,$A44:$A63,0)),IF(INDEX($V44:$V63,MATCH(J42,$A44:$A63,0))=0,INDEX($W44:$W63,MATCH(J42,$A44:$A63,0)),IF(INDEX($Z44:$Z63,MATCH(J42,$A44:$A63,0))=0,INDEX($AA44:$AA63,MATCH(J42,$A44:$A63,0)),"")))</f>
        <v>1</v>
      </c>
      <c r="K40" s="92">
        <f>IF(INDEX($R44:$R63,MATCH(K42,$A44:$A63,0))=0,INDEX($S44:$S63,MATCH(K42,$A44:$A63,0)),IF(INDEX($V44:$V63,MATCH(K42,$A44:$A63,0))=0,INDEX($W44:$W63,MATCH(K42,$A44:$A63,0)),IF(INDEX($Z44:$Z63,MATCH(K42,$A44:$A63,0))=0,INDEX($AA44:$AA63,MATCH(K42,$A44:$A63,0)),"")))</f>
        <v>1</v>
      </c>
      <c r="L40" s="92">
        <f t="shared" ref="L40:AV40" si="22">IF(INDEX($R44:$R63,MATCH(L42,$A44:$A63,0))=0,INDEX($S44:$S63,MATCH(L42,$A44:$A63,0)),IF(INDEX($V44:$V63,MATCH(L42,$A44:$A63,0))=0,INDEX($W44:$W63,MATCH(L42,$A44:$A63,0)),IF(INDEX($Z44:$Z63,MATCH(L42,$A44:$A63,0))=0,INDEX($AA44:$AA63,MATCH(L42,$A44:$A63,0)),"")))</f>
        <v>1</v>
      </c>
      <c r="M40" s="92">
        <f t="shared" si="22"/>
        <v>1</v>
      </c>
      <c r="N40" s="92">
        <f t="shared" si="22"/>
        <v>1</v>
      </c>
      <c r="O40" s="92">
        <f t="shared" si="22"/>
        <v>1</v>
      </c>
      <c r="P40" s="92">
        <f t="shared" si="22"/>
        <v>1</v>
      </c>
      <c r="Q40" s="92">
        <f t="shared" si="22"/>
        <v>1</v>
      </c>
      <c r="R40" s="92" t="e">
        <f t="shared" si="22"/>
        <v>#N/A</v>
      </c>
      <c r="S40" s="92" t="e">
        <f t="shared" si="22"/>
        <v>#N/A</v>
      </c>
      <c r="T40" s="92" t="e">
        <f t="shared" si="22"/>
        <v>#N/A</v>
      </c>
      <c r="U40" s="92" t="e">
        <f t="shared" si="22"/>
        <v>#N/A</v>
      </c>
      <c r="V40" s="92" t="e">
        <f t="shared" si="22"/>
        <v>#N/A</v>
      </c>
      <c r="W40" s="92" t="e">
        <f t="shared" si="22"/>
        <v>#N/A</v>
      </c>
      <c r="X40" s="92" t="e">
        <f t="shared" si="22"/>
        <v>#N/A</v>
      </c>
      <c r="Y40" s="92" t="e">
        <f t="shared" si="22"/>
        <v>#N/A</v>
      </c>
      <c r="Z40" s="92" t="e">
        <f t="shared" si="22"/>
        <v>#N/A</v>
      </c>
      <c r="AA40" s="92" t="e">
        <f t="shared" si="22"/>
        <v>#N/A</v>
      </c>
      <c r="AB40" s="92" t="e">
        <f t="shared" si="22"/>
        <v>#N/A</v>
      </c>
      <c r="AC40" s="92" t="e">
        <f t="shared" si="22"/>
        <v>#N/A</v>
      </c>
      <c r="AD40" s="92" t="e">
        <f t="shared" si="22"/>
        <v>#N/A</v>
      </c>
      <c r="AE40" s="92" t="e">
        <f t="shared" si="22"/>
        <v>#N/A</v>
      </c>
      <c r="AF40" s="92" t="e">
        <f t="shared" si="22"/>
        <v>#N/A</v>
      </c>
      <c r="AG40" s="92" t="e">
        <f t="shared" si="22"/>
        <v>#N/A</v>
      </c>
      <c r="AH40" s="92" t="e">
        <f t="shared" si="22"/>
        <v>#N/A</v>
      </c>
      <c r="AI40" s="92" t="e">
        <f t="shared" si="22"/>
        <v>#N/A</v>
      </c>
      <c r="AJ40" s="92" t="e">
        <f t="shared" si="22"/>
        <v>#N/A</v>
      </c>
      <c r="AK40" s="92" t="e">
        <f t="shared" si="22"/>
        <v>#N/A</v>
      </c>
      <c r="AL40" s="92" t="e">
        <f t="shared" si="22"/>
        <v>#N/A</v>
      </c>
      <c r="AM40" s="92" t="e">
        <f t="shared" si="22"/>
        <v>#N/A</v>
      </c>
      <c r="AN40" s="92" t="e">
        <f t="shared" si="22"/>
        <v>#N/A</v>
      </c>
      <c r="AO40" s="92" t="e">
        <f t="shared" si="22"/>
        <v>#N/A</v>
      </c>
      <c r="AP40" s="92" t="e">
        <f t="shared" si="22"/>
        <v>#N/A</v>
      </c>
      <c r="AQ40" s="92" t="e">
        <f t="shared" si="22"/>
        <v>#N/A</v>
      </c>
      <c r="AR40" s="92" t="e">
        <f t="shared" si="22"/>
        <v>#N/A</v>
      </c>
      <c r="AS40" s="92" t="e">
        <f t="shared" si="22"/>
        <v>#N/A</v>
      </c>
      <c r="AT40" s="92" t="e">
        <f t="shared" si="22"/>
        <v>#N/A</v>
      </c>
      <c r="AU40" s="92" t="e">
        <f t="shared" si="22"/>
        <v>#N/A</v>
      </c>
      <c r="AV40" s="92" t="e">
        <f t="shared" si="22"/>
        <v>#N/A</v>
      </c>
      <c r="AW40" s="92"/>
      <c r="AX40" s="92"/>
      <c r="AY40" s="92"/>
      <c r="AZ40" s="92"/>
      <c r="BA40" s="92"/>
      <c r="BB40" s="92"/>
    </row>
    <row r="41" spans="1:68" s="41" customFormat="1" x14ac:dyDescent="0.3">
      <c r="A41" s="112"/>
      <c r="B41" s="160"/>
      <c r="C41" s="162"/>
      <c r="D41" s="96">
        <f>B64+C64+D64+E64</f>
        <v>12</v>
      </c>
      <c r="E41" s="96"/>
      <c r="F41" s="101">
        <f>COUNTIF(I41:AV41,"&lt;3")+G64</f>
        <v>9</v>
      </c>
      <c r="G41" s="92"/>
      <c r="H41" s="92"/>
      <c r="I41" s="92">
        <f t="array" ref="I41">IFERROR(INDEX($M$1:$O63,SMALL(IF($M44:$O63&gt;0,ROW($M44:$O63)),COLUMN(A$1)),MOD(SMALL(IF($M44:$O63&gt;0,ROW($M44:$O63)+(COLUMN($M44:$O63)-12)%),COLUMN(A$1)),1)/1%),"")</f>
        <v>1</v>
      </c>
      <c r="J41" s="92">
        <f t="array" ref="J41">IFERROR(INDEX($M$1:$O63,SMALL(IF($M44:$O63&gt;0,ROW($M44:$O63)),COLUMN(B$1)),MOD(SMALL(IF($M44:$O63&gt;0,ROW($M44:$O63)+(COLUMN($M44:$O63)-12)%),COLUMN(B$1)),1)/1%),"")</f>
        <v>1</v>
      </c>
      <c r="K41" s="92">
        <f t="array" ref="K41">IFERROR(INDEX($M$1:$O63,SMALL(IF($M44:$O63&gt;0,ROW($M44:$O63)),COLUMN(C$1)),MOD(SMALL(IF($M44:$O63&gt;0,ROW($M44:$O63)+(COLUMN($M44:$O63)-12)%),COLUMN(C$1)),1)/1%),"")</f>
        <v>1</v>
      </c>
      <c r="L41" s="92">
        <f t="array" ref="L41">IFERROR(INDEX($M$1:$O63,SMALL(IF($M44:$O63&gt;0,ROW($M44:$O63)),COLUMN(D$1)),MOD(SMALL(IF($M44:$O63&gt;0,ROW($M44:$O63)+(COLUMN($M44:$O63)-12)%),COLUMN(D$1)),1)/1%),"")</f>
        <v>1</v>
      </c>
      <c r="M41" s="92">
        <f t="array" ref="M41">IFERROR(INDEX($M$1:$O63,SMALL(IF($M44:$O63&gt;0,ROW($M44:$O63)),COLUMN(E$1)),MOD(SMALL(IF($M44:$O63&gt;0,ROW($M44:$O63)+(COLUMN($M44:$O63)-12)%),COLUMN(E$1)),1)/1%),"")</f>
        <v>1</v>
      </c>
      <c r="N41" s="92">
        <f t="array" ref="N41">IFERROR(INDEX($M$1:$O63,SMALL(IF($M44:$O63&gt;0,ROW($M44:$O63)),COLUMN(F$1)),MOD(SMALL(IF($M44:$O63&gt;0,ROW($M44:$O63)+(COLUMN($M44:$O63)-12)%),COLUMN(F$1)),1)/1%),"")</f>
        <v>1</v>
      </c>
      <c r="O41" s="92">
        <f t="array" ref="O41">IFERROR(INDEX($M$1:$O63,SMALL(IF($M44:$O63&gt;0,ROW($M44:$O63)),COLUMN(G$1)),MOD(SMALL(IF($M44:$O63&gt;0,ROW($M44:$O63)+(COLUMN($M44:$O63)-12)%),COLUMN(G$1)),1)/1%),"")</f>
        <v>1</v>
      </c>
      <c r="P41" s="92">
        <f t="array" ref="P41">IFERROR(INDEX($M$1:$O63,SMALL(IF($M44:$O63&gt;0,ROW($M44:$O63)),COLUMN(H$1)),MOD(SMALL(IF($M44:$O63&gt;0,ROW($M44:$O63)+(COLUMN($M44:$O63)-12)%),COLUMN(H$1)),1)/1%),"")</f>
        <v>1</v>
      </c>
      <c r="Q41" s="92">
        <f t="array" ref="Q41">IFERROR(INDEX($M$1:$O63,SMALL(IF($M44:$O63&gt;0,ROW($M44:$O63)),COLUMN(I$1)),MOD(SMALL(IF($M44:$O63&gt;0,ROW($M44:$O63)+(COLUMN($M44:$O63)-12)%),COLUMN(I$1)),1)/1%),"")</f>
        <v>1</v>
      </c>
      <c r="R41" s="92" t="str">
        <f t="array" ref="R41">IFERROR(INDEX($M$1:$O63,SMALL(IF($M44:$O63&gt;0,ROW($M44:$O63)),COLUMN(J$1)),MOD(SMALL(IF($M44:$O63&gt;0,ROW($M44:$O63)+(COLUMN($M44:$O63)-12)%),COLUMN(J$1)),1)/1%),"")</f>
        <v/>
      </c>
      <c r="S41" s="92" t="str">
        <f t="array" ref="S41">IFERROR(INDEX($M$1:$O63,SMALL(IF($M44:$O63&gt;0,ROW($M44:$O63)),COLUMN(K$1)),MOD(SMALL(IF($M44:$O63&gt;0,ROW($M44:$O63)+(COLUMN($M44:$O63)-12)%),COLUMN(K$1)),1)/1%),"")</f>
        <v/>
      </c>
      <c r="T41" s="92" t="str">
        <f t="array" ref="T41">IFERROR(INDEX($M$1:$O63,SMALL(IF($M44:$O63&gt;0,ROW($M44:$O63)),COLUMN(L$1)),MOD(SMALL(IF($M44:$O63&gt;0,ROW($M44:$O63)+(COLUMN($M44:$O63)-12)%),COLUMN(L$1)),1)/1%),"")</f>
        <v/>
      </c>
      <c r="U41" s="92" t="str">
        <f t="array" ref="U41">IFERROR(INDEX($M$1:$O63,SMALL(IF($M44:$O63&gt;0,ROW($M44:$O63)),COLUMN(M$1)),MOD(SMALL(IF($M44:$O63&gt;0,ROW($M44:$O63)+(COLUMN($M44:$O63)-12)%),COLUMN(M$1)),1)/1%),"")</f>
        <v/>
      </c>
      <c r="V41" s="92" t="str">
        <f t="array" ref="V41">IFERROR(INDEX($M$1:$O63,SMALL(IF($M44:$O63&gt;0,ROW($M44:$O63)),COLUMN(N$1)),MOD(SMALL(IF($M44:$O63&gt;0,ROW($M44:$O63)+(COLUMN($M44:$O63)-12)%),COLUMN(N$1)),1)/1%),"")</f>
        <v/>
      </c>
      <c r="W41" s="92" t="str">
        <f t="array" ref="W41">IFERROR(INDEX($M$1:$O63,SMALL(IF($M44:$O63&gt;0,ROW($M44:$O63)),COLUMN(O$1)),MOD(SMALL(IF($M44:$O63&gt;0,ROW($M44:$O63)+(COLUMN($M44:$O63)-12)%),COLUMN(O$1)),1)/1%),"")</f>
        <v/>
      </c>
      <c r="X41" s="92" t="str">
        <f t="array" ref="X41">IFERROR(INDEX($M$1:$O63,SMALL(IF($M44:$O63&gt;0,ROW($M44:$O63)),COLUMN(P$1)),MOD(SMALL(IF($M44:$O63&gt;0,ROW($M44:$O63)+(COLUMN($M44:$O63)-12)%),COLUMN(P$1)),1)/1%),"")</f>
        <v/>
      </c>
      <c r="Y41" s="92" t="str">
        <f t="array" ref="Y41">IFERROR(INDEX($M$1:$O63,SMALL(IF($M44:$O63&gt;0,ROW($M44:$O63)),COLUMN(Q$1)),MOD(SMALL(IF($M44:$O63&gt;0,ROW($M44:$O63)+(COLUMN($M44:$O63)-12)%),COLUMN(Q$1)),1)/1%),"")</f>
        <v/>
      </c>
      <c r="Z41" s="92" t="str">
        <f t="array" ref="Z41">IFERROR(INDEX($M$1:$O63,SMALL(IF($M44:$O63&gt;0,ROW($M44:$O63)),COLUMN(R$1)),MOD(SMALL(IF($M44:$O63&gt;0,ROW($M44:$O63)+(COLUMN($M44:$O63)-12)%),COLUMN(R$1)),1)/1%),"")</f>
        <v/>
      </c>
      <c r="AA41" s="92" t="str">
        <f t="array" ref="AA41">IFERROR(INDEX($M$1:$O63,SMALL(IF($M44:$O63&gt;0,ROW($M44:$O63)),COLUMN(S$1)),MOD(SMALL(IF($M44:$O63&gt;0,ROW($M44:$O63)+(COLUMN($M44:$O63)-12)%),COLUMN(S$1)),1)/1%),"")</f>
        <v/>
      </c>
      <c r="AB41" s="92" t="str">
        <f t="array" ref="AB41">IFERROR(INDEX($M$1:$O63,SMALL(IF($M44:$O63&gt;0,ROW($M44:$O63)),COLUMN(T$1)),MOD(SMALL(IF($M44:$O63&gt;0,ROW($M44:$O63)+(COLUMN($M44:$O63)-12)%),COLUMN(T$1)),1)/1%),"")</f>
        <v/>
      </c>
      <c r="AC41" s="92" t="str">
        <f t="array" ref="AC41">IFERROR(INDEX($M$1:$O63,SMALL(IF($M44:$O63&gt;0,ROW($M44:$O63)),COLUMN(U$1)),MOD(SMALL(IF($M44:$O63&gt;0,ROW($M44:$O63)+(COLUMN($M44:$O63)-12)%),COLUMN(U$1)),1)/1%),"")</f>
        <v/>
      </c>
      <c r="AD41" s="92" t="str">
        <f t="array" ref="AD41">IFERROR(INDEX($M$1:$O63,SMALL(IF($M44:$O63&gt;0,ROW($M44:$O63)),COLUMN(V$1)),MOD(SMALL(IF($M44:$O63&gt;0,ROW($M44:$O63)+(COLUMN($M44:$O63)-12)%),COLUMN(V$1)),1)/1%),"")</f>
        <v/>
      </c>
      <c r="AE41" s="92" t="str">
        <f t="array" ref="AE41">IFERROR(INDEX($M$1:$O63,SMALL(IF($M44:$O63&gt;0,ROW($M44:$O63)),COLUMN(W$1)),MOD(SMALL(IF($M44:$O63&gt;0,ROW($M44:$O63)+(COLUMN($M44:$O63)-12)%),COLUMN(W$1)),1)/1%),"")</f>
        <v/>
      </c>
      <c r="AF41" s="92" t="str">
        <f t="array" ref="AF41">IFERROR(INDEX($M$1:$O63,SMALL(IF($M44:$O63&gt;0,ROW($M44:$O63)),COLUMN(X$1)),MOD(SMALL(IF($M44:$O63&gt;0,ROW($M44:$O63)+(COLUMN($M44:$O63)-12)%),COLUMN(X$1)),1)/1%),"")</f>
        <v/>
      </c>
      <c r="AG41" s="92" t="str">
        <f t="array" ref="AG41">IFERROR(INDEX($M$1:$O63,SMALL(IF($M44:$O63&gt;0,ROW($M44:$O63)),COLUMN(Y$1)),MOD(SMALL(IF($M44:$O63&gt;0,ROW($M44:$O63)+(COLUMN($M44:$O63)-12)%),COLUMN(Y$1)),1)/1%),"")</f>
        <v/>
      </c>
      <c r="AH41" s="92" t="str">
        <f t="array" ref="AH41">IFERROR(INDEX($M$1:$O63,SMALL(IF($M44:$O63&gt;0,ROW($M44:$O63)),COLUMN(Z$1)),MOD(SMALL(IF($M44:$O63&gt;0,ROW($M44:$O63)+(COLUMN($M44:$O63)-12)%),COLUMN(Z$1)),1)/1%),"")</f>
        <v/>
      </c>
      <c r="AI41" s="92" t="str">
        <f t="array" ref="AI41">IFERROR(INDEX($M$1:$O63,SMALL(IF($M44:$O63&gt;0,ROW($M44:$O63)),COLUMN(AA$1)),MOD(SMALL(IF($M44:$O63&gt;0,ROW($M44:$O63)+(COLUMN($M44:$O63)-12)%),COLUMN(AA$1)),1)/1%),"")</f>
        <v/>
      </c>
      <c r="AJ41" s="92" t="str">
        <f t="array" ref="AJ41">IFERROR(INDEX($M$1:$O63,SMALL(IF($M44:$O63&gt;0,ROW($M44:$O63)),COLUMN(AB$1)),MOD(SMALL(IF($M44:$O63&gt;0,ROW($M44:$O63)+(COLUMN($M44:$O63)-12)%),COLUMN(AB$1)),1)/1%),"")</f>
        <v/>
      </c>
      <c r="AK41" s="92" t="str">
        <f t="array" ref="AK41">IFERROR(INDEX($M$1:$O63,SMALL(IF($M44:$O63&gt;0,ROW($M44:$O63)),COLUMN(AC$1)),MOD(SMALL(IF($M44:$O63&gt;0,ROW($M44:$O63)+(COLUMN($M44:$O63)-12)%),COLUMN(AC$1)),1)/1%),"")</f>
        <v/>
      </c>
      <c r="AL41" s="92" t="str">
        <f t="array" ref="AL41">IFERROR(INDEX($M$1:$O63,SMALL(IF($M44:$O63&gt;0,ROW($M44:$O63)),COLUMN(AD$1)),MOD(SMALL(IF($M44:$O63&gt;0,ROW($M44:$O63)+(COLUMN($M44:$O63)-12)%),COLUMN(AD$1)),1)/1%),"")</f>
        <v/>
      </c>
      <c r="AM41" s="92" t="str">
        <f t="array" ref="AM41">IFERROR(INDEX($M$1:$O63,SMALL(IF($M44:$O63&gt;0,ROW($M44:$O63)),COLUMN(AE$1)),MOD(SMALL(IF($M44:$O63&gt;0,ROW($M44:$O63)+(COLUMN($M44:$O63)-12)%),COLUMN(AE$1)),1)/1%),"")</f>
        <v/>
      </c>
      <c r="AN41" s="92" t="str">
        <f t="array" ref="AN41">IFERROR(INDEX($M$1:$O63,SMALL(IF($M44:$O63&gt;0,ROW($M44:$O63)),COLUMN(AF$1)),MOD(SMALL(IF($M44:$O63&gt;0,ROW($M44:$O63)+(COLUMN($M44:$O63)-12)%),COLUMN(AF$1)),1)/1%),"")</f>
        <v/>
      </c>
      <c r="AO41" s="92" t="str">
        <f t="array" ref="AO41">IFERROR(INDEX($M$1:$O63,SMALL(IF($M44:$O63&gt;0,ROW($M44:$O63)),COLUMN(AG$1)),MOD(SMALL(IF($M44:$O63&gt;0,ROW($M44:$O63)+(COLUMN($M44:$O63)-12)%),COLUMN(AG$1)),1)/1%),"")</f>
        <v/>
      </c>
      <c r="AP41" s="92" t="str">
        <f t="array" ref="AP41">IFERROR(INDEX($M$1:$O63,SMALL(IF($M44:$O63&gt;0,ROW($M44:$O63)),COLUMN(AH$1)),MOD(SMALL(IF($M44:$O63&gt;0,ROW($M44:$O63)+(COLUMN($M44:$O63)-12)%),COLUMN(AH$1)),1)/1%),"")</f>
        <v/>
      </c>
      <c r="AQ41" s="92" t="str">
        <f t="array" ref="AQ41">IFERROR(INDEX($M$1:$O63,SMALL(IF($M44:$O63&gt;0,ROW($M44:$O63)),COLUMN(AI$1)),MOD(SMALL(IF($M44:$O63&gt;0,ROW($M44:$O63)+(COLUMN($M44:$O63)-12)%),COLUMN(AI$1)),1)/1%),"")</f>
        <v/>
      </c>
      <c r="AR41" s="92" t="str">
        <f t="array" ref="AR41">IFERROR(INDEX($M$1:$O63,SMALL(IF($M44:$O63&gt;0,ROW($M44:$O63)),COLUMN(AJ$1)),MOD(SMALL(IF($M44:$O63&gt;0,ROW($M44:$O63)+(COLUMN($M44:$O63)-12)%),COLUMN(AJ$1)),1)/1%),"")</f>
        <v/>
      </c>
      <c r="AS41" s="92" t="str">
        <f t="array" ref="AS41">IFERROR(INDEX($M$1:$O63,SMALL(IF($M44:$O63&gt;0,ROW($M44:$O63)),COLUMN(AK$1)),MOD(SMALL(IF($M44:$O63&gt;0,ROW($M44:$O63)+(COLUMN($M44:$O63)-12)%),COLUMN(AK$1)),1)/1%),"")</f>
        <v/>
      </c>
      <c r="AT41" s="92" t="str">
        <f t="array" ref="AT41">IFERROR(INDEX($M$1:$O63,SMALL(IF($M44:$O63&gt;0,ROW($M44:$O63)),COLUMN(AL$1)),MOD(SMALL(IF($M44:$O63&gt;0,ROW($M44:$O63)+(COLUMN($M44:$O63)-12)%),COLUMN(AL$1)),1)/1%),"")</f>
        <v/>
      </c>
      <c r="AU41" s="92" t="str">
        <f t="array" ref="AU41">IFERROR(INDEX($M$1:$O63,SMALL(IF($M44:$O63&gt;0,ROW($M44:$O63)),COLUMN(AM$1)),MOD(SMALL(IF($M44:$O63&gt;0,ROW($M44:$O63)+(COLUMN($M44:$O63)-12)%),COLUMN(AM$1)),1)/1%),"")</f>
        <v/>
      </c>
      <c r="AV41" s="92" t="str">
        <f t="array" ref="AV41">IFERROR(INDEX($M$1:$O63,SMALL(IF($M44:$O63&gt;0,ROW($M44:$O63)),COLUMN(AN$1)),MOD(SMALL(IF($M44:$O63&gt;0,ROW($M44:$O63)+(COLUMN($M44:$O63)-12)%),COLUMN(AN$1)),1)/1%),"")</f>
        <v/>
      </c>
      <c r="AW41" s="92"/>
      <c r="AX41" s="92"/>
      <c r="AY41" s="92"/>
      <c r="AZ41" s="92"/>
      <c r="BA41" s="92"/>
      <c r="BB41" s="92"/>
    </row>
    <row r="42" spans="1:68" s="41" customFormat="1" x14ac:dyDescent="0.3">
      <c r="A42" s="113"/>
      <c r="B42" s="114"/>
      <c r="C42" s="114"/>
      <c r="D42" s="114"/>
      <c r="E42" s="114"/>
      <c r="F42" s="115"/>
      <c r="G42" s="92"/>
      <c r="H42" s="92"/>
      <c r="I42" s="92">
        <f t="array" ref="I42">IFERROR(INDEX($I$1:$K63,SMALL(IF($I44:$K63&gt;0,ROW($I44:$K63)),COLUMN(A$1)),MOD(SMALL(IF($I44:$K63&gt;0,ROW($I44:$K63)+(COLUMN($I44:$K63)-8)%),COLUMN(A$1)),1)/1%),"")</f>
        <v>201</v>
      </c>
      <c r="J42" s="92">
        <f t="array" ref="J42">IFERROR(INDEX($I$1:$K63,SMALL(IF($I44:$K63&gt;0,ROW($I44:$K63)),COLUMN(B$1)),MOD(SMALL(IF($I44:$K63&gt;0,ROW($I44:$K63)+(COLUMN($I44:$K63)-8)%),COLUMN(B$1)),1)/1%),"")</f>
        <v>202</v>
      </c>
      <c r="K42" s="92">
        <f t="array" ref="K42">IFERROR(INDEX($I$1:$K63,SMALL(IF($I44:$K63&gt;0,ROW($I44:$K63)),COLUMN(C$1)),MOD(SMALL(IF($I44:$K63&gt;0,ROW($I44:$K63)+(COLUMN($I44:$K63)-8)%),COLUMN(C$1)),1)/1%),"")</f>
        <v>203</v>
      </c>
      <c r="L42" s="92">
        <f t="array" ref="L42">IFERROR(INDEX($I$1:$K63,SMALL(IF($I44:$K63&gt;0,ROW($I44:$K63)),COLUMN(D$1)),MOD(SMALL(IF($I44:$K63&gt;0,ROW($I44:$K63)+(COLUMN($I44:$K63)-8)%),COLUMN(D$1)),1)/1%),"")</f>
        <v>204</v>
      </c>
      <c r="M42" s="92">
        <f t="array" ref="M42">IFERROR(INDEX($I$1:$K63,SMALL(IF($I44:$K63&gt;0,ROW($I44:$K63)),COLUMN(E$1)),MOD(SMALL(IF($I44:$K63&gt;0,ROW($I44:$K63)+(COLUMN($I44:$K63)-8)%),COLUMN(E$1)),1)/1%),"")</f>
        <v>205</v>
      </c>
      <c r="N42" s="92">
        <f t="array" ref="N42">IFERROR(INDEX($I$1:$K63,SMALL(IF($I44:$K63&gt;0,ROW($I44:$K63)),COLUMN(F$1)),MOD(SMALL(IF($I44:$K63&gt;0,ROW($I44:$K63)+(COLUMN($I44:$K63)-8)%),COLUMN(F$1)),1)/1%),"")</f>
        <v>206</v>
      </c>
      <c r="O42" s="92">
        <f t="array" ref="O42">IFERROR(INDEX($I$1:$K63,SMALL(IF($I44:$K63&gt;0,ROW($I44:$K63)),COLUMN(G$1)),MOD(SMALL(IF($I44:$K63&gt;0,ROW($I44:$K63)+(COLUMN($I44:$K63)-8)%),COLUMN(G$1)),1)/1%),"")</f>
        <v>207</v>
      </c>
      <c r="P42" s="92">
        <f t="array" ref="P42">IFERROR(INDEX($I$1:$K63,SMALL(IF($I44:$K63&gt;0,ROW($I44:$K63)),COLUMN(H$1)),MOD(SMALL(IF($I44:$K63&gt;0,ROW($I44:$K63)+(COLUMN($I44:$K63)-8)%),COLUMN(H$1)),1)/1%),"")</f>
        <v>208</v>
      </c>
      <c r="Q42" s="92">
        <f t="array" ref="Q42">IFERROR(INDEX($I$1:$K63,SMALL(IF($I44:$K63&gt;0,ROW($I44:$K63)),COLUMN(I$1)),MOD(SMALL(IF($I44:$K63&gt;0,ROW($I44:$K63)+(COLUMN($I44:$K63)-8)%),COLUMN(I$1)),1)/1%),"")</f>
        <v>209</v>
      </c>
      <c r="R42" s="92" t="str">
        <f t="array" ref="R42">IFERROR(INDEX($I$1:$K63,SMALL(IF($I44:$K63&gt;0,ROW($I44:$K63)),COLUMN(J$1)),MOD(SMALL(IF($I44:$K63&gt;0,ROW($I44:$K63)+(COLUMN($I44:$K63)-8)%),COLUMN(J$1)),1)/1%),"")</f>
        <v/>
      </c>
      <c r="S42" s="92" t="str">
        <f t="array" ref="S42">IFERROR(INDEX($I$1:$K63,SMALL(IF($I44:$K63&gt;0,ROW($I44:$K63)),COLUMN(K$1)),MOD(SMALL(IF($I44:$K63&gt;0,ROW($I44:$K63)+(COLUMN($I44:$K63)-8)%),COLUMN(K$1)),1)/1%),"")</f>
        <v/>
      </c>
      <c r="T42" s="92" t="str">
        <f t="array" ref="T42">IFERROR(INDEX($I$1:$K63,SMALL(IF($I44:$K63&gt;0,ROW($I44:$K63)),COLUMN(L$1)),MOD(SMALL(IF($I44:$K63&gt;0,ROW($I44:$K63)+(COLUMN($I44:$K63)-8)%),COLUMN(L$1)),1)/1%),"")</f>
        <v/>
      </c>
      <c r="U42" s="92" t="str">
        <f t="array" ref="U42">IFERROR(INDEX($I$1:$K63,SMALL(IF($I44:$K63&gt;0,ROW($I44:$K63)),COLUMN(M$1)),MOD(SMALL(IF($I44:$K63&gt;0,ROW($I44:$K63)+(COLUMN($I44:$K63)-8)%),COLUMN(M$1)),1)/1%),"")</f>
        <v/>
      </c>
      <c r="V42" s="92" t="str">
        <f t="array" ref="V42">IFERROR(INDEX($I$1:$K63,SMALL(IF($I44:$K63&gt;0,ROW($I44:$K63)),COLUMN(N$1)),MOD(SMALL(IF($I44:$K63&gt;0,ROW($I44:$K63)+(COLUMN($I44:$K63)-8)%),COLUMN(N$1)),1)/1%),"")</f>
        <v/>
      </c>
      <c r="W42" s="92" t="str">
        <f t="array" ref="W42">IFERROR(INDEX($I$1:$K63,SMALL(IF($I44:$K63&gt;0,ROW($I44:$K63)),COLUMN(O$1)),MOD(SMALL(IF($I44:$K63&gt;0,ROW($I44:$K63)+(COLUMN($I44:$K63)-8)%),COLUMN(O$1)),1)/1%),"")</f>
        <v/>
      </c>
      <c r="X42" s="92" t="str">
        <f t="array" ref="X42">IFERROR(INDEX($I$1:$K63,SMALL(IF($I44:$K63&gt;0,ROW($I44:$K63)),COLUMN(P$1)),MOD(SMALL(IF($I44:$K63&gt;0,ROW($I44:$K63)+(COLUMN($I44:$K63)-8)%),COLUMN(P$1)),1)/1%),"")</f>
        <v/>
      </c>
      <c r="Y42" s="92" t="str">
        <f t="array" ref="Y42">IFERROR(INDEX($I$1:$K63,SMALL(IF($I44:$K63&gt;0,ROW($I44:$K63)),COLUMN(Q$1)),MOD(SMALL(IF($I44:$K63&gt;0,ROW($I44:$K63)+(COLUMN($I44:$K63)-8)%),COLUMN(Q$1)),1)/1%),"")</f>
        <v/>
      </c>
      <c r="Z42" s="92" t="str">
        <f t="array" ref="Z42">IFERROR(INDEX($I$1:$K63,SMALL(IF($I44:$K63&gt;0,ROW($I44:$K63)),COLUMN(R$1)),MOD(SMALL(IF($I44:$K63&gt;0,ROW($I44:$K63)+(COLUMN($I44:$K63)-8)%),COLUMN(R$1)),1)/1%),"")</f>
        <v/>
      </c>
      <c r="AA42" s="92" t="str">
        <f t="array" ref="AA42">IFERROR(INDEX($I$1:$K63,SMALL(IF($I44:$K63&gt;0,ROW($I44:$K63)),COLUMN(S$1)),MOD(SMALL(IF($I44:$K63&gt;0,ROW($I44:$K63)+(COLUMN($I44:$K63)-8)%),COLUMN(S$1)),1)/1%),"")</f>
        <v/>
      </c>
      <c r="AB42" s="92" t="str">
        <f t="array" ref="AB42">IFERROR(INDEX($I$1:$K63,SMALL(IF($I44:$K63&gt;0,ROW($I44:$K63)),COLUMN(T$1)),MOD(SMALL(IF($I44:$K63&gt;0,ROW($I44:$K63)+(COLUMN($I44:$K63)-8)%),COLUMN(T$1)),1)/1%),"")</f>
        <v/>
      </c>
      <c r="AC42" s="92" t="str">
        <f t="array" ref="AC42">IFERROR(INDEX($I$1:$K63,SMALL(IF($I44:$K63&gt;0,ROW($I44:$K63)),COLUMN(U$1)),MOD(SMALL(IF($I44:$K63&gt;0,ROW($I44:$K63)+(COLUMN($I44:$K63)-8)%),COLUMN(U$1)),1)/1%),"")</f>
        <v/>
      </c>
      <c r="AD42" s="92" t="str">
        <f t="array" ref="AD42">IFERROR(INDEX($I$1:$K63,SMALL(IF($I44:$K63&gt;0,ROW($I44:$K63)),COLUMN(V$1)),MOD(SMALL(IF($I44:$K63&gt;0,ROW($I44:$K63)+(COLUMN($I44:$K63)-8)%),COLUMN(V$1)),1)/1%),"")</f>
        <v/>
      </c>
      <c r="AE42" s="92" t="str">
        <f t="array" ref="AE42">IFERROR(INDEX($I$1:$K63,SMALL(IF($I44:$K63&gt;0,ROW($I44:$K63)),COLUMN(W$1)),MOD(SMALL(IF($I44:$K63&gt;0,ROW($I44:$K63)+(COLUMN($I44:$K63)-8)%),COLUMN(W$1)),1)/1%),"")</f>
        <v/>
      </c>
      <c r="AF42" s="92" t="str">
        <f t="array" ref="AF42">IFERROR(INDEX($I$1:$K63,SMALL(IF($I44:$K63&gt;0,ROW($I44:$K63)),COLUMN(X$1)),MOD(SMALL(IF($I44:$K63&gt;0,ROW($I44:$K63)+(COLUMN($I44:$K63)-8)%),COLUMN(X$1)),1)/1%),"")</f>
        <v/>
      </c>
      <c r="AG42" s="92" t="str">
        <f t="array" ref="AG42">IFERROR(INDEX($I$1:$K63,SMALL(IF($I44:$K63&gt;0,ROW($I44:$K63)),COLUMN(Y$1)),MOD(SMALL(IF($I44:$K63&gt;0,ROW($I44:$K63)+(COLUMN($I44:$K63)-8)%),COLUMN(Y$1)),1)/1%),"")</f>
        <v/>
      </c>
      <c r="AH42" s="92" t="str">
        <f t="array" ref="AH42">IFERROR(INDEX($I$1:$K63,SMALL(IF($I44:$K63&gt;0,ROW($I44:$K63)),COLUMN(Z$1)),MOD(SMALL(IF($I44:$K63&gt;0,ROW($I44:$K63)+(COLUMN($I44:$K63)-8)%),COLUMN(Z$1)),1)/1%),"")</f>
        <v/>
      </c>
      <c r="AI42" s="92" t="str">
        <f t="array" ref="AI42">IFERROR(INDEX($I$1:$K63,SMALL(IF($I44:$K63&gt;0,ROW($I44:$K63)),COLUMN(AA$1)),MOD(SMALL(IF($I44:$K63&gt;0,ROW($I44:$K63)+(COLUMN($I44:$K63)-8)%),COLUMN(AA$1)),1)/1%),"")</f>
        <v/>
      </c>
      <c r="AJ42" s="92" t="str">
        <f t="array" ref="AJ42">IFERROR(INDEX($I$1:$K63,SMALL(IF($I44:$K63&gt;0,ROW($I44:$K63)),COLUMN(AB$1)),MOD(SMALL(IF($I44:$K63&gt;0,ROW($I44:$K63)+(COLUMN($I44:$K63)-8)%),COLUMN(AB$1)),1)/1%),"")</f>
        <v/>
      </c>
      <c r="AK42" s="92" t="str">
        <f t="array" ref="AK42">IFERROR(INDEX($I$1:$K63,SMALL(IF($I44:$K63&gt;0,ROW($I44:$K63)),COLUMN(AC$1)),MOD(SMALL(IF($I44:$K63&gt;0,ROW($I44:$K63)+(COLUMN($I44:$K63)-8)%),COLUMN(AC$1)),1)/1%),"")</f>
        <v/>
      </c>
      <c r="AL42" s="92" t="str">
        <f t="array" ref="AL42">IFERROR(INDEX($I$1:$K63,SMALL(IF($I44:$K63&gt;0,ROW($I44:$K63)),COLUMN(AD$1)),MOD(SMALL(IF($I44:$K63&gt;0,ROW($I44:$K63)+(COLUMN($I44:$K63)-8)%),COLUMN(AD$1)),1)/1%),"")</f>
        <v/>
      </c>
      <c r="AM42" s="92" t="str">
        <f t="array" ref="AM42">IFERROR(INDEX($I$1:$K63,SMALL(IF($I44:$K63&gt;0,ROW($I44:$K63)),COLUMN(AE$1)),MOD(SMALL(IF($I44:$K63&gt;0,ROW($I44:$K63)+(COLUMN($I44:$K63)-8)%),COLUMN(AE$1)),1)/1%),"")</f>
        <v/>
      </c>
      <c r="AN42" s="92" t="str">
        <f t="array" ref="AN42">IFERROR(INDEX($I$1:$K63,SMALL(IF($I44:$K63&gt;0,ROW($I44:$K63)),COLUMN(AF$1)),MOD(SMALL(IF($I44:$K63&gt;0,ROW($I44:$K63)+(COLUMN($I44:$K63)-8)%),COLUMN(AF$1)),1)/1%),"")</f>
        <v/>
      </c>
      <c r="AO42" s="92" t="str">
        <f t="array" ref="AO42">IFERROR(INDEX($I$1:$K63,SMALL(IF($I44:$K63&gt;0,ROW($I44:$K63)),COLUMN(AG$1)),MOD(SMALL(IF($I44:$K63&gt;0,ROW($I44:$K63)+(COLUMN($I44:$K63)-8)%),COLUMN(AG$1)),1)/1%),"")</f>
        <v/>
      </c>
      <c r="AP42" s="92" t="str">
        <f t="array" ref="AP42">IFERROR(INDEX($I$1:$K63,SMALL(IF($I44:$K63&gt;0,ROW($I44:$K63)),COLUMN(AH$1)),MOD(SMALL(IF($I44:$K63&gt;0,ROW($I44:$K63)+(COLUMN($I44:$K63)-8)%),COLUMN(AH$1)),1)/1%),"")</f>
        <v/>
      </c>
      <c r="AQ42" s="92" t="str">
        <f t="array" ref="AQ42">IFERROR(INDEX($I$1:$K63,SMALL(IF($I44:$K63&gt;0,ROW($I44:$K63)),COLUMN(AI$1)),MOD(SMALL(IF($I44:$K63&gt;0,ROW($I44:$K63)+(COLUMN($I44:$K63)-8)%),COLUMN(AI$1)),1)/1%),"")</f>
        <v/>
      </c>
      <c r="AR42" s="92" t="str">
        <f t="array" ref="AR42">IFERROR(INDEX($I$1:$K63,SMALL(IF($I44:$K63&gt;0,ROW($I44:$K63)),COLUMN(AJ$1)),MOD(SMALL(IF($I44:$K63&gt;0,ROW($I44:$K63)+(COLUMN($I44:$K63)-8)%),COLUMN(AJ$1)),1)/1%),"")</f>
        <v/>
      </c>
      <c r="AS42" s="92" t="str">
        <f t="array" ref="AS42">IFERROR(INDEX($I$1:$K63,SMALL(IF($I44:$K63&gt;0,ROW($I44:$K63)),COLUMN(AK$1)),MOD(SMALL(IF($I44:$K63&gt;0,ROW($I44:$K63)+(COLUMN($I44:$K63)-8)%),COLUMN(AK$1)),1)/1%),"")</f>
        <v/>
      </c>
      <c r="AT42" s="92" t="str">
        <f t="array" ref="AT42">IFERROR(INDEX($I$1:$K63,SMALL(IF($I44:$K63&gt;0,ROW($I44:$K63)),COLUMN(AL$1)),MOD(SMALL(IF($I44:$K63&gt;0,ROW($I44:$K63)+(COLUMN($I44:$K63)-8)%),COLUMN(AL$1)),1)/1%),"")</f>
        <v/>
      </c>
      <c r="AU42" s="92" t="str">
        <f t="array" ref="AU42">IFERROR(INDEX($I$1:$K63,SMALL(IF($I44:$K63&gt;0,ROW($I44:$K63)),COLUMN(AM$1)),MOD(SMALL(IF($I44:$K63&gt;0,ROW($I44:$K63)+(COLUMN($I44:$K63)-8)%),COLUMN(AM$1)),1)/1%),"")</f>
        <v/>
      </c>
      <c r="AV42" s="92" t="str">
        <f t="array" ref="AV42">IFERROR(INDEX($I$1:$K63,SMALL(IF($I44:$K63&gt;0,ROW($I44:$K63)),COLUMN(AN$1)),MOD(SMALL(IF($I44:$K63&gt;0,ROW($I44:$K63)+(COLUMN($I44:$K63)-8)%),COLUMN(AN$1)),1)/1%),"")</f>
        <v/>
      </c>
      <c r="AW42" s="92" t="str">
        <f t="array" ref="AW42">IFERROR(INDEX($I$3:$K$32,SMALL(IF($I$13:$K$32&gt;0,ROW($I$13:$K$32)),COLUMN(AO33)),MOD(SMALL(IF($I$13:$K$32&gt;0,ROW($I$13:$K$32)+(COLUMN($I$13:$K$32)-8)%),COLUMN(AO33)),1)/1%),"")</f>
        <v/>
      </c>
      <c r="AX42" s="92" t="str">
        <f t="array" ref="AX42">IFERROR(INDEX($I$3:$K$32,SMALL(IF($I$13:$K$32&gt;0,ROW($I$13:$K$32)),COLUMN(AP33)),MOD(SMALL(IF($I$13:$K$32&gt;0,ROW($I$13:$K$32)+(COLUMN($I$13:$K$32)-8)%),COLUMN(AP33)),1)/1%),"")</f>
        <v/>
      </c>
      <c r="AY42" s="92" t="str">
        <f t="array" ref="AY42">IFERROR(INDEX($I$3:$K$32,SMALL(IF($I$13:$K$32&gt;0,ROW($I$13:$K$32)),COLUMN(AQ33)),MOD(SMALL(IF($I$13:$K$32&gt;0,ROW($I$13:$K$32)+(COLUMN($I$13:$K$32)-8)%),COLUMN(AQ33)),1)/1%),"")</f>
        <v/>
      </c>
      <c r="AZ42" s="92" t="str">
        <f t="array" ref="AZ42">IFERROR(INDEX($I$3:$K$32,SMALL(IF($I$13:$K$32&gt;0,ROW($I$13:$K$32)),COLUMN(AR33)),MOD(SMALL(IF($I$13:$K$32&gt;0,ROW($I$13:$K$32)+(COLUMN($I$13:$K$32)-8)%),COLUMN(AR33)),1)/1%),"")</f>
        <v/>
      </c>
      <c r="BA42" s="92" t="str">
        <f t="array" ref="BA42">IFERROR(INDEX($I$3:$K$32,SMALL(IF($I$13:$K$32&gt;0,ROW($I$13:$K$32)),COLUMN(AS33)),MOD(SMALL(IF($I$13:$K$32&gt;0,ROW($I$13:$K$32)+(COLUMN($I$13:$K$32)-8)%),COLUMN(AS33)),1)/1%),"")</f>
        <v/>
      </c>
      <c r="BB42" s="92" t="str">
        <f t="array" ref="BB42">IFERROR(INDEX($I$3:$K$32,SMALL(IF($I$13:$K$32&gt;0,ROW($I$13:$K$32)),COLUMN(AT33)),MOD(SMALL(IF($I$13:$K$32&gt;0,ROW($I$13:$K$32)+(COLUMN($I$13:$K$32)-8)%),COLUMN(AT33)),1)/1%),"")</f>
        <v/>
      </c>
      <c r="BC42" s="41" t="str">
        <f t="array" ref="BC42">IFERROR(INDEX($I$3:$K$32,SMALL(IF($I$13:$K$32&gt;0,ROW($I$13:$K$32)),COLUMN(AU33)),MOD(SMALL(IF($I$13:$K$32&gt;0,ROW($I$13:$K$32)+(COLUMN($I$13:$K$32)-8)%),COLUMN(AU33)),1)/1%),"")</f>
        <v/>
      </c>
      <c r="BD42" s="41" t="str">
        <f t="array" ref="BD42">IFERROR(INDEX($I$3:$K$32,SMALL(IF($I$13:$K$32&gt;0,ROW($I$13:$K$32)),COLUMN(AV33)),MOD(SMALL(IF($I$13:$K$32&gt;0,ROW($I$13:$K$32)+(COLUMN($I$13:$K$32)-8)%),COLUMN(AV33)),1)/1%),"")</f>
        <v/>
      </c>
      <c r="BE42" s="41" t="str">
        <f t="array" ref="BE42">IFERROR(INDEX($I$3:$K$32,SMALL(IF($I$13:$K$32&gt;0,ROW($I$13:$K$32)),COLUMN(AW33)),MOD(SMALL(IF($I$13:$K$32&gt;0,ROW($I$13:$K$32)+(COLUMN($I$13:$K$32)-8)%),COLUMN(AW33)),1)/1%),"")</f>
        <v/>
      </c>
      <c r="BF42" s="41" t="str">
        <f t="array" ref="BF42">IFERROR(INDEX($I$3:$K$32,SMALL(IF($I$13:$K$32&gt;0,ROW($I$13:$K$32)),COLUMN(AX33)),MOD(SMALL(IF($I$13:$K$32&gt;0,ROW($I$13:$K$32)+(COLUMN($I$13:$K$32)-8)%),COLUMN(AX33)),1)/1%),"")</f>
        <v/>
      </c>
      <c r="BG42" s="41" t="str">
        <f t="array" ref="BG42">IFERROR(INDEX($I$3:$K$32,SMALL(IF($I$13:$K$32&gt;0,ROW($I$13:$K$32)),COLUMN(AY33)),MOD(SMALL(IF($I$13:$K$32&gt;0,ROW($I$13:$K$32)+(COLUMN($I$13:$K$32)-8)%),COLUMN(AY33)),1)/1%),"")</f>
        <v/>
      </c>
      <c r="BH42" s="41" t="str">
        <f t="array" ref="BH42">IFERROR(INDEX($I$3:$K$32,SMALL(IF($I$13:$K$32&gt;0,ROW($I$13:$K$32)),COLUMN(AZ33)),MOD(SMALL(IF($I$13:$K$32&gt;0,ROW($I$13:$K$32)+(COLUMN($I$13:$K$32)-8)%),COLUMN(AZ33)),1)/1%),"")</f>
        <v/>
      </c>
      <c r="BI42" s="41" t="str">
        <f t="array" ref="BI42">IFERROR(INDEX($I$3:$K$32,SMALL(IF($I$13:$K$32&gt;0,ROW($I$13:$K$32)),COLUMN(BA33)),MOD(SMALL(IF($I$13:$K$32&gt;0,ROW($I$13:$K$32)+(COLUMN($I$13:$K$32)-8)%),COLUMN(BA33)),1)/1%),"")</f>
        <v/>
      </c>
      <c r="BJ42" s="41" t="str">
        <f t="array" ref="BJ42">IFERROR(INDEX($I$3:$K$32,SMALL(IF($I$13:$K$32&gt;0,ROW($I$13:$K$32)),COLUMN(BB33)),MOD(SMALL(IF($I$13:$K$32&gt;0,ROW($I$13:$K$32)+(COLUMN($I$13:$K$32)-8)%),COLUMN(BB33)),1)/1%),"")</f>
        <v/>
      </c>
      <c r="BK42" s="41" t="str">
        <f t="array" ref="BK42">IFERROR(INDEX($I$3:$K$32,SMALL(IF($I$13:$K$32&gt;0,ROW($I$13:$K$32)),COLUMN(BC33)),MOD(SMALL(IF($I$13:$K$32&gt;0,ROW($I$13:$K$32)+(COLUMN($I$13:$K$32)-8)%),COLUMN(BC33)),1)/1%),"")</f>
        <v/>
      </c>
      <c r="BL42" s="41" t="str">
        <f t="array" ref="BL42">IFERROR(INDEX($I$3:$K$32,SMALL(IF($I$13:$K$32&gt;0,ROW($I$13:$K$32)),COLUMN(BD33)),MOD(SMALL(IF($I$13:$K$32&gt;0,ROW($I$13:$K$32)+(COLUMN($I$13:$K$32)-8)%),COLUMN(BD33)),1)/1%),"")</f>
        <v/>
      </c>
      <c r="BM42" s="41" t="str">
        <f t="array" ref="BM42">IFERROR(INDEX($I$3:$K$32,SMALL(IF($I$13:$K$32&gt;0,ROW($I$13:$K$32)),COLUMN(BE33)),MOD(SMALL(IF($I$13:$K$32&gt;0,ROW($I$13:$K$32)+(COLUMN($I$13:$K$32)-8)%),COLUMN(BE33)),1)/1%),"")</f>
        <v/>
      </c>
      <c r="BN42" s="41" t="str">
        <f t="array" ref="BN42">IFERROR(INDEX($I$3:$K$32,SMALL(IF($I$13:$K$32&gt;0,ROW($I$13:$K$32)),COLUMN(BF33)),MOD(SMALL(IF($I$13:$K$32&gt;0,ROW($I$13:$K$32)+(COLUMN($I$13:$K$32)-8)%),COLUMN(BF33)),1)/1%),"")</f>
        <v/>
      </c>
      <c r="BO42" s="41" t="str">
        <f t="array" ref="BO42">IFERROR(INDEX($I$3:$K$32,SMALL(IF($I$13:$K$32&gt;0,ROW($I$13:$K$32)),COLUMN(BG33)),MOD(SMALL(IF($I$13:$K$32&gt;0,ROW($I$13:$K$32)+(COLUMN($I$13:$K$32)-8)%),COLUMN(BG33)),1)/1%),"")</f>
        <v/>
      </c>
      <c r="BP42" s="41" t="str">
        <f t="array" ref="BP42">IFERROR(INDEX($I$3:$K$32,SMALL(IF($I$13:$K$32&gt;0,ROW($I$13:$K$32)),COLUMN(BH33)),MOD(SMALL(IF($I$13:$K$32&gt;0,ROW($I$13:$K$32)+(COLUMN($I$13:$K$32)-8)%),COLUMN(BH33)),1)/1%),"")</f>
        <v/>
      </c>
    </row>
    <row r="43" spans="1:68" s="41" customFormat="1" ht="45" customHeight="1" x14ac:dyDescent="0.3">
      <c r="A43" s="105" t="s">
        <v>59</v>
      </c>
      <c r="B43" s="106" t="s">
        <v>39</v>
      </c>
      <c r="C43" s="106" t="s">
        <v>57</v>
      </c>
      <c r="D43" s="106" t="s">
        <v>40</v>
      </c>
      <c r="E43" s="106" t="s">
        <v>42</v>
      </c>
      <c r="F43" s="107" t="s">
        <v>41</v>
      </c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>
        <f>IF(AND(MAX(Q44:Q63)&lt;=8,OR(D41+G64=15,D41+G64=16)),8,14)</f>
        <v>14</v>
      </c>
      <c r="R43" s="92"/>
      <c r="S43" s="92">
        <v>0</v>
      </c>
      <c r="T43" s="92">
        <v>0</v>
      </c>
      <c r="U43" s="92"/>
      <c r="V43" s="92"/>
      <c r="W43" s="92">
        <f t="array" ref="W43">IF(MIN(IF(R44:R63=1,$Q44:$Q63))&gt;T63,S63+1,S63)</f>
        <v>1</v>
      </c>
      <c r="X43" s="92">
        <f t="array" ref="X43">IF(MIN(IF(R44:R63=1,$Q44:$Q63))&gt;T63,Q43,T63)</f>
        <v>2</v>
      </c>
      <c r="Y43" s="92"/>
      <c r="Z43" s="92"/>
      <c r="AA43" s="92">
        <f t="array" ref="AA43">IF(MIN(IF(V44:V63=1,$Q44:$Q63))&gt;X63,W63+1,W63)</f>
        <v>1</v>
      </c>
      <c r="AB43" s="92">
        <f t="array" ref="AB43">IF(MIN(IF(V44:V63=1,$Q44:$Q63))&gt;X63,Q43,X63)</f>
        <v>2</v>
      </c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</row>
    <row r="44" spans="1:68" s="41" customFormat="1" x14ac:dyDescent="0.3">
      <c r="A44" s="108">
        <v>201</v>
      </c>
      <c r="B44" s="121">
        <v>2</v>
      </c>
      <c r="C44" s="121"/>
      <c r="D44" s="2"/>
      <c r="E44" s="2"/>
      <c r="F44" s="3"/>
      <c r="G44" s="109">
        <f>IF($C$3="Дротова",0,ROUNDUP(F44/2,0))</f>
        <v>0</v>
      </c>
      <c r="H44" s="92">
        <f>COUNTIF(B44:E44,"&gt;0")+COUNTIF(G44,"&gt;0")-SUMPRODUCT((B44&gt;0)*(C44&gt;0))-SUMPRODUCT((D44&gt;0)*(E44&gt;0))</f>
        <v>1</v>
      </c>
      <c r="I44" s="92">
        <f t="shared" ref="I44:I63" si="23">IF(H44&gt;0,A44,)</f>
        <v>201</v>
      </c>
      <c r="J44" s="92">
        <f t="shared" ref="J44:J63" si="24">IF(H44-1&gt;0,A44,)</f>
        <v>0</v>
      </c>
      <c r="K44" s="92">
        <f t="shared" ref="K44:K63" si="25">IF(H44-2&gt;0,A44,)</f>
        <v>0</v>
      </c>
      <c r="L44" s="92"/>
      <c r="M44" s="92">
        <f>IF(SUM(B44:E44)&gt;0,1,0)</f>
        <v>1</v>
      </c>
      <c r="N44" s="92">
        <f>IF(MAX(B44:C44)*MAX(D44:E44)&gt;0,2,0)</f>
        <v>0</v>
      </c>
      <c r="O44" s="92">
        <f>IF(G44&gt;0,3,0)</f>
        <v>0</v>
      </c>
      <c r="P44" s="92"/>
      <c r="Q44" s="92">
        <f>SUM(B44:E44,G44)</f>
        <v>2</v>
      </c>
      <c r="R44" s="92">
        <f t="shared" ref="R44:R63" si="26">IF(T44&lt;&gt;T43,0,IF(H44=0,0,1))</f>
        <v>0</v>
      </c>
      <c r="S44" s="92">
        <f>IF(T43=0,MAX(S$43:S43)+1,MAX(S$43:S43))</f>
        <v>1</v>
      </c>
      <c r="T44" s="92">
        <f>IF(T43=0,$Q$43-$Q44,IF(T43-$Q44&lt;0,T43,T43-$Q44))</f>
        <v>12</v>
      </c>
      <c r="U44" s="92"/>
      <c r="V44" s="92">
        <f t="shared" ref="V44:V63" si="27">IF(R44=0,0,IF(X44&lt;&gt;X43,0,IF(H44=0,0,1)))</f>
        <v>0</v>
      </c>
      <c r="W44" s="92">
        <f>IF(AND(X43=0,X44&lt;&gt;0),MAX(W$43:W43)+1,MAX(W$43:W43))</f>
        <v>1</v>
      </c>
      <c r="X44" s="92">
        <f>IF(R44=0,X43,IF(X43=0,$Q$43-$Q44,IF(X43-$Q44&lt;0,X43,X43-$Q44)))</f>
        <v>2</v>
      </c>
      <c r="Y44" s="92"/>
      <c r="Z44" s="92">
        <f>IF(V44=0,0,IF(AB44&lt;&gt;AB43,0,IF(SUM(F44:I44)=0,0,1)))</f>
        <v>0</v>
      </c>
      <c r="AA44" s="92">
        <f>IF(AND(AB43=0,AB44&lt;&gt;0),MAX(AA$43:AA43)+1,MAX(AA$43:AA43))</f>
        <v>1</v>
      </c>
      <c r="AB44" s="92">
        <f>IF(V44=0,AB43,IF(AB43=0,$Q$43-$Q44,IF(AB43-$Q44&lt;0,AB43,AB43-$Q44)))</f>
        <v>2</v>
      </c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</row>
    <row r="45" spans="1:68" s="41" customFormat="1" x14ac:dyDescent="0.3">
      <c r="A45" s="108">
        <f>A44+1</f>
        <v>202</v>
      </c>
      <c r="B45" s="121">
        <v>3</v>
      </c>
      <c r="C45" s="121"/>
      <c r="D45" s="2"/>
      <c r="E45" s="2"/>
      <c r="F45" s="3"/>
      <c r="G45" s="109">
        <f>IF($C$3="Дротова",0,ROUNDUP(F45/2,0))</f>
        <v>0</v>
      </c>
      <c r="H45" s="92">
        <f>COUNTIF(B45:E45,"&gt;0")+COUNTIF(G45,"&gt;0")-SUMPRODUCT((B45&gt;0)*(C45&gt;0))-SUMPRODUCT((D45&gt;0)*(E45&gt;0))</f>
        <v>1</v>
      </c>
      <c r="I45" s="92">
        <f t="shared" si="23"/>
        <v>202</v>
      </c>
      <c r="J45" s="92">
        <f t="shared" si="24"/>
        <v>0</v>
      </c>
      <c r="K45" s="92">
        <f t="shared" si="25"/>
        <v>0</v>
      </c>
      <c r="L45" s="92"/>
      <c r="M45" s="92">
        <f>IF(SUM(B45:E45)&gt;0,1,0)</f>
        <v>1</v>
      </c>
      <c r="N45" s="92">
        <f>IF(MAX(B45:C45)*MAX(D45:E45)&gt;0,2,0)</f>
        <v>0</v>
      </c>
      <c r="O45" s="92">
        <f t="shared" ref="O45:O63" si="28">IF(G45&gt;0,3,0)</f>
        <v>0</v>
      </c>
      <c r="P45" s="92"/>
      <c r="Q45" s="92">
        <f>SUM(B45:E45,G45)</f>
        <v>3</v>
      </c>
      <c r="R45" s="92">
        <f t="shared" si="26"/>
        <v>0</v>
      </c>
      <c r="S45" s="92">
        <f>IF(T44=0,MAX(S$43:S44)+1,MAX(S$43:S44))</f>
        <v>1</v>
      </c>
      <c r="T45" s="92">
        <f t="shared" ref="T45:T64" si="29">IF(T44=0,$Q$43-$Q45,IF(T44-$Q45&lt;0,T44,T44-$Q45))</f>
        <v>9</v>
      </c>
      <c r="U45" s="92"/>
      <c r="V45" s="92">
        <f t="shared" si="27"/>
        <v>0</v>
      </c>
      <c r="W45" s="92">
        <f>IF(AND(X44=0,X45&lt;&gt;0),MAX(W$43:W44)+1,MAX(W$43:W44))</f>
        <v>1</v>
      </c>
      <c r="X45" s="92">
        <f t="shared" ref="X45:X63" si="30">IF(R45=0,X44,IF(X44=0,$Q$43-$Q45,IF(X44-$Q45&lt;0,X44,X44-$Q45)))</f>
        <v>2</v>
      </c>
      <c r="Y45" s="92"/>
      <c r="Z45" s="92">
        <f>IF(V45=0,0,IF(AB45&lt;&gt;AB44,0,IF(SUM(F45:I45)=0,0,1)))</f>
        <v>0</v>
      </c>
      <c r="AA45" s="92">
        <f>IF(AND(AB44=0,AB45&lt;&gt;0),MAX(AA$43:AA44)+1,MAX(AA$43:AA44))</f>
        <v>1</v>
      </c>
      <c r="AB45" s="92">
        <f t="shared" ref="AB45:AB63" si="31">IF(V45=0,AB44,IF(AB44=0,$Q$43-$Q45,IF(AB44-$Q45&lt;0,AB44,AB44-$Q45)))</f>
        <v>2</v>
      </c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</row>
    <row r="46" spans="1:68" s="41" customFormat="1" ht="15" customHeight="1" x14ac:dyDescent="0.3">
      <c r="A46" s="108">
        <f t="shared" ref="A46:A63" si="32">A45+1</f>
        <v>203</v>
      </c>
      <c r="B46" s="121">
        <v>1</v>
      </c>
      <c r="C46" s="121"/>
      <c r="D46" s="2"/>
      <c r="E46" s="2"/>
      <c r="F46" s="3"/>
      <c r="G46" s="109">
        <f>IF($C$3="Дротова",0,ROUNDUP(F46/2,0))</f>
        <v>0</v>
      </c>
      <c r="H46" s="92">
        <f>COUNTIF(B46:E46,"&gt;0")+COUNTIF(G46,"&gt;0")-SUMPRODUCT((B46&gt;0)*(C46&gt;0))-SUMPRODUCT((D46&gt;0)*(E46&gt;0))</f>
        <v>1</v>
      </c>
      <c r="I46" s="92">
        <f t="shared" si="23"/>
        <v>203</v>
      </c>
      <c r="J46" s="92">
        <f t="shared" si="24"/>
        <v>0</v>
      </c>
      <c r="K46" s="92">
        <f t="shared" si="25"/>
        <v>0</v>
      </c>
      <c r="L46" s="92"/>
      <c r="M46" s="92">
        <f>IF(SUM(B46:E46)&gt;0,1,0)</f>
        <v>1</v>
      </c>
      <c r="N46" s="92">
        <f>IF(MAX(B46:C46)*MAX(D46:E46)&gt;0,2,0)</f>
        <v>0</v>
      </c>
      <c r="O46" s="92">
        <f t="shared" si="28"/>
        <v>0</v>
      </c>
      <c r="P46" s="92"/>
      <c r="Q46" s="92">
        <f>SUM(B46:E46,G46)</f>
        <v>1</v>
      </c>
      <c r="R46" s="92">
        <f t="shared" si="26"/>
        <v>0</v>
      </c>
      <c r="S46" s="92">
        <f>IF(T45=0,MAX(S$43:S45)+1,MAX(S$43:S45))</f>
        <v>1</v>
      </c>
      <c r="T46" s="92">
        <f t="shared" si="29"/>
        <v>8</v>
      </c>
      <c r="U46" s="92"/>
      <c r="V46" s="92">
        <f t="shared" si="27"/>
        <v>0</v>
      </c>
      <c r="W46" s="92">
        <f>IF(AND(X45=0,X46&lt;&gt;0),MAX(W$43:W45)+1,MAX(W$43:W45))</f>
        <v>1</v>
      </c>
      <c r="X46" s="92">
        <f t="shared" si="30"/>
        <v>2</v>
      </c>
      <c r="Y46" s="92"/>
      <c r="Z46" s="92">
        <f>IF(V46=0,0,IF(AB46&lt;&gt;AB45,0,IF(SUM(F46:I46)=0,0,1)))</f>
        <v>0</v>
      </c>
      <c r="AA46" s="92">
        <f>IF(AND(AB45=0,AB46&lt;&gt;0),MAX(AA$43:AA45)+1,MAX(AA$43:AA45))</f>
        <v>1</v>
      </c>
      <c r="AB46" s="92">
        <f t="shared" si="31"/>
        <v>2</v>
      </c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</row>
    <row r="47" spans="1:68" s="41" customFormat="1" x14ac:dyDescent="0.3">
      <c r="A47" s="108">
        <f t="shared" si="32"/>
        <v>204</v>
      </c>
      <c r="B47" s="121">
        <v>1</v>
      </c>
      <c r="C47" s="121"/>
      <c r="D47" s="2"/>
      <c r="E47" s="2"/>
      <c r="F47" s="3"/>
      <c r="G47" s="109">
        <f>IF($C$3="Дротова",0,ROUNDUP(F47/2,0))</f>
        <v>0</v>
      </c>
      <c r="H47" s="92">
        <f>COUNTIF(B47:E47,"&gt;0")+COUNTIF(G47,"&gt;0")-SUMPRODUCT((B47&gt;0)*(C47&gt;0))-SUMPRODUCT((D47&gt;0)*(E47&gt;0))</f>
        <v>1</v>
      </c>
      <c r="I47" s="92">
        <f t="shared" si="23"/>
        <v>204</v>
      </c>
      <c r="J47" s="92">
        <f t="shared" si="24"/>
        <v>0</v>
      </c>
      <c r="K47" s="92">
        <f t="shared" si="25"/>
        <v>0</v>
      </c>
      <c r="L47" s="92"/>
      <c r="M47" s="92">
        <f>IF(SUM(B47:E47)&gt;0,1,0)</f>
        <v>1</v>
      </c>
      <c r="N47" s="92">
        <f>IF(MAX(B47:C47)*MAX(D47:E47)&gt;0,2,0)</f>
        <v>0</v>
      </c>
      <c r="O47" s="92">
        <f t="shared" si="28"/>
        <v>0</v>
      </c>
      <c r="P47" s="92"/>
      <c r="Q47" s="92">
        <f>SUM(B47:E47,G47)</f>
        <v>1</v>
      </c>
      <c r="R47" s="92">
        <f t="shared" si="26"/>
        <v>0</v>
      </c>
      <c r="S47" s="92">
        <f>IF(T46=0,MAX(S$43:S46)+1,MAX(S$43:S46))</f>
        <v>1</v>
      </c>
      <c r="T47" s="92">
        <f t="shared" si="29"/>
        <v>7</v>
      </c>
      <c r="U47" s="92"/>
      <c r="V47" s="92">
        <f t="shared" si="27"/>
        <v>0</v>
      </c>
      <c r="W47" s="92">
        <f>IF(AND(X46=0,X47&lt;&gt;0),MAX(W$43:W46)+1,MAX(W$43:W46))</f>
        <v>1</v>
      </c>
      <c r="X47" s="92">
        <f t="shared" si="30"/>
        <v>2</v>
      </c>
      <c r="Y47" s="92"/>
      <c r="Z47" s="92">
        <f>IF(V47=0,0,IF(AB47&lt;&gt;AB46,0,IF(SUM(F47:I47)=0,0,1)))</f>
        <v>0</v>
      </c>
      <c r="AA47" s="92">
        <f>IF(AND(AB46=0,AB47&lt;&gt;0),MAX(AA$43:AA46)+1,MAX(AA$43:AA46))</f>
        <v>1</v>
      </c>
      <c r="AB47" s="92">
        <f t="shared" si="31"/>
        <v>2</v>
      </c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</row>
    <row r="48" spans="1:68" s="41" customFormat="1" x14ac:dyDescent="0.3">
      <c r="A48" s="108">
        <f t="shared" si="32"/>
        <v>205</v>
      </c>
      <c r="B48" s="121">
        <v>1</v>
      </c>
      <c r="C48" s="121"/>
      <c r="D48" s="2"/>
      <c r="E48" s="2"/>
      <c r="F48" s="3"/>
      <c r="G48" s="109">
        <f>IF($C$3="Дротова",0,ROUNDUP(F48/2,0))</f>
        <v>0</v>
      </c>
      <c r="H48" s="92">
        <f>COUNTIF(B48:E48,"&gt;0")+COUNTIF(G48,"&gt;0")-SUMPRODUCT((B48&gt;0)*(C48&gt;0))-SUMPRODUCT((D48&gt;0)*(E48&gt;0))</f>
        <v>1</v>
      </c>
      <c r="I48" s="92">
        <f t="shared" si="23"/>
        <v>205</v>
      </c>
      <c r="J48" s="92">
        <f t="shared" si="24"/>
        <v>0</v>
      </c>
      <c r="K48" s="92">
        <f t="shared" si="25"/>
        <v>0</v>
      </c>
      <c r="L48" s="92"/>
      <c r="M48" s="92">
        <f>IF(SUM(B48:E48)&gt;0,1,0)</f>
        <v>1</v>
      </c>
      <c r="N48" s="92">
        <f>IF(MAX(B48:C48)*MAX(D48:E48)&gt;0,2,0)</f>
        <v>0</v>
      </c>
      <c r="O48" s="92">
        <f t="shared" si="28"/>
        <v>0</v>
      </c>
      <c r="P48" s="92"/>
      <c r="Q48" s="92">
        <f>SUM(B48:E48,G48)</f>
        <v>1</v>
      </c>
      <c r="R48" s="92">
        <f t="shared" si="26"/>
        <v>0</v>
      </c>
      <c r="S48" s="92">
        <f>IF(T47=0,MAX(S$43:S47)+1,MAX(S$43:S47))</f>
        <v>1</v>
      </c>
      <c r="T48" s="92">
        <f t="shared" si="29"/>
        <v>6</v>
      </c>
      <c r="U48" s="92"/>
      <c r="V48" s="92">
        <f t="shared" si="27"/>
        <v>0</v>
      </c>
      <c r="W48" s="92">
        <f>IF(AND(X47=0,X48&lt;&gt;0),MAX(W$43:W47)+1,MAX(W$43:W47))</f>
        <v>1</v>
      </c>
      <c r="X48" s="92">
        <f t="shared" si="30"/>
        <v>2</v>
      </c>
      <c r="Y48" s="92"/>
      <c r="Z48" s="92">
        <f>IF(V48=0,0,IF(AB48&lt;&gt;AB47,0,IF(SUM(F48:I48)=0,0,1)))</f>
        <v>0</v>
      </c>
      <c r="AA48" s="92">
        <f>IF(AND(AB47=0,AB48&lt;&gt;0),MAX(AA$43:AA47)+1,MAX(AA$43:AA47))</f>
        <v>1</v>
      </c>
      <c r="AB48" s="92">
        <f t="shared" si="31"/>
        <v>2</v>
      </c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</row>
    <row r="49" spans="1:54" s="41" customFormat="1" x14ac:dyDescent="0.3">
      <c r="A49" s="108">
        <f t="shared" si="32"/>
        <v>206</v>
      </c>
      <c r="B49" s="121">
        <v>1</v>
      </c>
      <c r="C49" s="121"/>
      <c r="D49" s="2"/>
      <c r="E49" s="2"/>
      <c r="F49" s="3"/>
      <c r="G49" s="109">
        <f>IF($C$3="Дротова",0,ROUNDUP(F49/2,0))</f>
        <v>0</v>
      </c>
      <c r="H49" s="92">
        <f>COUNTIF(B49:E49,"&gt;0")+COUNTIF(G49,"&gt;0")-SUMPRODUCT((B49&gt;0)*(C49&gt;0))-SUMPRODUCT((D49&gt;0)*(E49&gt;0))</f>
        <v>1</v>
      </c>
      <c r="I49" s="92">
        <f t="shared" si="23"/>
        <v>206</v>
      </c>
      <c r="J49" s="92">
        <f t="shared" si="24"/>
        <v>0</v>
      </c>
      <c r="K49" s="92">
        <f t="shared" si="25"/>
        <v>0</v>
      </c>
      <c r="L49" s="92"/>
      <c r="M49" s="92">
        <f>IF(SUM(B49:E49)&gt;0,1,0)</f>
        <v>1</v>
      </c>
      <c r="N49" s="92">
        <f>IF(MAX(B49:C49)*MAX(D49:E49)&gt;0,2,0)</f>
        <v>0</v>
      </c>
      <c r="O49" s="92">
        <f t="shared" si="28"/>
        <v>0</v>
      </c>
      <c r="P49" s="92"/>
      <c r="Q49" s="92">
        <f>SUM(B49:E49,G49)</f>
        <v>1</v>
      </c>
      <c r="R49" s="92">
        <f t="shared" si="26"/>
        <v>0</v>
      </c>
      <c r="S49" s="92">
        <f>IF(T48=0,MAX(S$43:S48)+1,MAX(S$43:S48))</f>
        <v>1</v>
      </c>
      <c r="T49" s="92">
        <f t="shared" si="29"/>
        <v>5</v>
      </c>
      <c r="U49" s="92"/>
      <c r="V49" s="92">
        <f t="shared" si="27"/>
        <v>0</v>
      </c>
      <c r="W49" s="92">
        <f>IF(AND(X48=0,X49&lt;&gt;0),MAX(W$43:W48)+1,MAX(W$43:W48))</f>
        <v>1</v>
      </c>
      <c r="X49" s="92">
        <f t="shared" si="30"/>
        <v>2</v>
      </c>
      <c r="Y49" s="92"/>
      <c r="Z49" s="92">
        <f>IF(V49=0,0,IF(AB49&lt;&gt;AB48,0,IF(SUM(F49:I49)=0,0,1)))</f>
        <v>0</v>
      </c>
      <c r="AA49" s="92">
        <f>IF(AND(AB48=0,AB49&lt;&gt;0),MAX(AA$43:AA48)+1,MAX(AA$43:AA48))</f>
        <v>1</v>
      </c>
      <c r="AB49" s="92">
        <f t="shared" si="31"/>
        <v>2</v>
      </c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</row>
    <row r="50" spans="1:54" s="41" customFormat="1" x14ac:dyDescent="0.3">
      <c r="A50" s="108">
        <f t="shared" si="32"/>
        <v>207</v>
      </c>
      <c r="B50" s="121">
        <v>1</v>
      </c>
      <c r="C50" s="2"/>
      <c r="D50" s="2"/>
      <c r="E50" s="2"/>
      <c r="F50" s="3"/>
      <c r="G50" s="109">
        <f>IF($C$3="Дротова",0,ROUNDUP(F50/2,0))</f>
        <v>0</v>
      </c>
      <c r="H50" s="92">
        <f>COUNTIF(B50:E50,"&gt;0")+COUNTIF(G50,"&gt;0")-SUMPRODUCT((B50&gt;0)*(C50&gt;0))-SUMPRODUCT((D50&gt;0)*(E50&gt;0))</f>
        <v>1</v>
      </c>
      <c r="I50" s="92">
        <f t="shared" si="23"/>
        <v>207</v>
      </c>
      <c r="J50" s="92">
        <f t="shared" si="24"/>
        <v>0</v>
      </c>
      <c r="K50" s="92">
        <f t="shared" si="25"/>
        <v>0</v>
      </c>
      <c r="L50" s="92"/>
      <c r="M50" s="92">
        <f>IF(SUM(B50:E50)&gt;0,1,0)</f>
        <v>1</v>
      </c>
      <c r="N50" s="92">
        <f>IF(MAX(B50:C50)*MAX(D50:E50)&gt;0,2,0)</f>
        <v>0</v>
      </c>
      <c r="O50" s="92">
        <f t="shared" si="28"/>
        <v>0</v>
      </c>
      <c r="P50" s="92"/>
      <c r="Q50" s="92">
        <f>SUM(B50:E50,G50)</f>
        <v>1</v>
      </c>
      <c r="R50" s="92">
        <f t="shared" si="26"/>
        <v>0</v>
      </c>
      <c r="S50" s="92">
        <f>IF(T49=0,MAX(S$43:S49)+1,MAX(S$43:S49))</f>
        <v>1</v>
      </c>
      <c r="T50" s="92">
        <f t="shared" si="29"/>
        <v>4</v>
      </c>
      <c r="U50" s="92"/>
      <c r="V50" s="92">
        <f t="shared" si="27"/>
        <v>0</v>
      </c>
      <c r="W50" s="92">
        <f>IF(AND(X49=0,X50&lt;&gt;0),MAX(W$43:W49)+1,MAX(W$43:W49))</f>
        <v>1</v>
      </c>
      <c r="X50" s="92">
        <f t="shared" si="30"/>
        <v>2</v>
      </c>
      <c r="Y50" s="92"/>
      <c r="Z50" s="92">
        <f>IF(V50=0,0,IF(AB50&lt;&gt;AB49,0,IF(SUM(F50:I50)=0,0,1)))</f>
        <v>0</v>
      </c>
      <c r="AA50" s="92">
        <f>IF(AND(AB49=0,AB50&lt;&gt;0),MAX(AA$43:AA49)+1,MAX(AA$43:AA49))</f>
        <v>1</v>
      </c>
      <c r="AB50" s="92">
        <f t="shared" si="31"/>
        <v>2</v>
      </c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</row>
    <row r="51" spans="1:54" s="41" customFormat="1" x14ac:dyDescent="0.3">
      <c r="A51" s="108">
        <f t="shared" si="32"/>
        <v>208</v>
      </c>
      <c r="B51" s="121">
        <v>1</v>
      </c>
      <c r="C51" s="2"/>
      <c r="D51" s="2"/>
      <c r="E51" s="2"/>
      <c r="F51" s="3"/>
      <c r="G51" s="109">
        <f>IF($C$3="Дротова",0,ROUNDUP(F51/2,0))</f>
        <v>0</v>
      </c>
      <c r="H51" s="92">
        <f>COUNTIF(B51:E51,"&gt;0")+COUNTIF(G51,"&gt;0")-SUMPRODUCT((B51&gt;0)*(C51&gt;0))-SUMPRODUCT((D51&gt;0)*(E51&gt;0))</f>
        <v>1</v>
      </c>
      <c r="I51" s="92">
        <f t="shared" si="23"/>
        <v>208</v>
      </c>
      <c r="J51" s="92">
        <f t="shared" si="24"/>
        <v>0</v>
      </c>
      <c r="K51" s="92">
        <f t="shared" si="25"/>
        <v>0</v>
      </c>
      <c r="L51" s="92"/>
      <c r="M51" s="92">
        <f>IF(SUM(B51:E51)&gt;0,1,0)</f>
        <v>1</v>
      </c>
      <c r="N51" s="92">
        <f>IF(MAX(B51:C51)*MAX(D51:E51)&gt;0,2,0)</f>
        <v>0</v>
      </c>
      <c r="O51" s="92">
        <f t="shared" si="28"/>
        <v>0</v>
      </c>
      <c r="P51" s="92"/>
      <c r="Q51" s="92">
        <f>SUM(B51:E51,G51)</f>
        <v>1</v>
      </c>
      <c r="R51" s="92">
        <f t="shared" si="26"/>
        <v>0</v>
      </c>
      <c r="S51" s="92">
        <f>IF(T50=0,MAX(S$43:S50)+1,MAX(S$43:S50))</f>
        <v>1</v>
      </c>
      <c r="T51" s="92">
        <f t="shared" si="29"/>
        <v>3</v>
      </c>
      <c r="U51" s="92"/>
      <c r="V51" s="92">
        <f t="shared" si="27"/>
        <v>0</v>
      </c>
      <c r="W51" s="92">
        <f>IF(AND(X50=0,X51&lt;&gt;0),MAX(W$43:W50)+1,MAX(W$43:W50))</f>
        <v>1</v>
      </c>
      <c r="X51" s="92">
        <f t="shared" si="30"/>
        <v>2</v>
      </c>
      <c r="Y51" s="92"/>
      <c r="Z51" s="92">
        <f>IF(V51=0,0,IF(AB51&lt;&gt;AB50,0,IF(SUM(F51:I51)=0,0,1)))</f>
        <v>0</v>
      </c>
      <c r="AA51" s="92">
        <f>IF(AND(AB50=0,AB51&lt;&gt;0),MAX(AA$43:AA50)+1,MAX(AA$43:AA50))</f>
        <v>1</v>
      </c>
      <c r="AB51" s="92">
        <f t="shared" si="31"/>
        <v>2</v>
      </c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</row>
    <row r="52" spans="1:54" s="41" customFormat="1" x14ac:dyDescent="0.3">
      <c r="A52" s="108">
        <f t="shared" si="32"/>
        <v>209</v>
      </c>
      <c r="B52" s="121">
        <v>1</v>
      </c>
      <c r="C52" s="2"/>
      <c r="D52" s="2"/>
      <c r="E52" s="2"/>
      <c r="F52" s="3"/>
      <c r="G52" s="109">
        <f>IF($C$3="Дротова",0,ROUNDUP(F52/2,0))</f>
        <v>0</v>
      </c>
      <c r="H52" s="92">
        <f>COUNTIF(B52:E52,"&gt;0")+COUNTIF(G52,"&gt;0")-SUMPRODUCT((B52&gt;0)*(C52&gt;0))-SUMPRODUCT((D52&gt;0)*(E52&gt;0))</f>
        <v>1</v>
      </c>
      <c r="I52" s="92">
        <f t="shared" si="23"/>
        <v>209</v>
      </c>
      <c r="J52" s="92">
        <f t="shared" si="24"/>
        <v>0</v>
      </c>
      <c r="K52" s="92">
        <f t="shared" si="25"/>
        <v>0</v>
      </c>
      <c r="L52" s="92"/>
      <c r="M52" s="92">
        <f>IF(SUM(B52:E52)&gt;0,1,0)</f>
        <v>1</v>
      </c>
      <c r="N52" s="92">
        <f>IF(MAX(B52:C52)*MAX(D52:E52)&gt;0,2,0)</f>
        <v>0</v>
      </c>
      <c r="O52" s="92">
        <f t="shared" si="28"/>
        <v>0</v>
      </c>
      <c r="P52" s="92"/>
      <c r="Q52" s="92">
        <f>SUM(B52:E52,G52)</f>
        <v>1</v>
      </c>
      <c r="R52" s="92">
        <f t="shared" si="26"/>
        <v>0</v>
      </c>
      <c r="S52" s="92">
        <f>IF(T51=0,MAX(S$43:S51)+1,MAX(S$43:S51))</f>
        <v>1</v>
      </c>
      <c r="T52" s="92">
        <f t="shared" si="29"/>
        <v>2</v>
      </c>
      <c r="U52" s="92"/>
      <c r="V52" s="92">
        <f t="shared" si="27"/>
        <v>0</v>
      </c>
      <c r="W52" s="92">
        <f>IF(AND(X51=0,X52&lt;&gt;0),MAX(W$43:W51)+1,MAX(W$43:W51))</f>
        <v>1</v>
      </c>
      <c r="X52" s="92">
        <f t="shared" si="30"/>
        <v>2</v>
      </c>
      <c r="Y52" s="92"/>
      <c r="Z52" s="92">
        <f>IF(V52=0,0,IF(AB52&lt;&gt;AB51,0,IF(SUM(F52:I52)=0,0,1)))</f>
        <v>0</v>
      </c>
      <c r="AA52" s="92">
        <f>IF(AND(AB51=0,AB52&lt;&gt;0),MAX(AA$43:AA51)+1,MAX(AA$43:AA51))</f>
        <v>1</v>
      </c>
      <c r="AB52" s="92">
        <f t="shared" si="31"/>
        <v>2</v>
      </c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</row>
    <row r="53" spans="1:54" s="41" customFormat="1" x14ac:dyDescent="0.3">
      <c r="A53" s="108">
        <f t="shared" si="32"/>
        <v>210</v>
      </c>
      <c r="B53" s="121"/>
      <c r="C53" s="2"/>
      <c r="D53" s="2"/>
      <c r="E53" s="2"/>
      <c r="F53" s="3"/>
      <c r="G53" s="109">
        <f t="shared" ref="G44:G62" si="33">IF($C$3="Дротова",0,ROUNDUP(F53/2,0))</f>
        <v>0</v>
      </c>
      <c r="H53" s="92">
        <f t="shared" ref="H53:H62" si="34">COUNTIF(B53:E53,"&gt;0")+COUNTIF(G53,"&gt;0")-SUMPRODUCT((B53&gt;0)*(C53&gt;0))-SUMPRODUCT((D53&gt;0)*(E53&gt;0))</f>
        <v>0</v>
      </c>
      <c r="I53" s="92">
        <f t="shared" si="23"/>
        <v>0</v>
      </c>
      <c r="J53" s="92">
        <f t="shared" si="24"/>
        <v>0</v>
      </c>
      <c r="K53" s="92">
        <f t="shared" si="25"/>
        <v>0</v>
      </c>
      <c r="L53" s="92"/>
      <c r="M53" s="92">
        <f t="shared" ref="M53:M63" si="35">IF(SUM(B53:E53)&gt;0,1,0)</f>
        <v>0</v>
      </c>
      <c r="N53" s="92">
        <f t="shared" ref="N53:N63" si="36">IF(MAX(B53:C53)*MAX(D53:E53)&gt;0,2,0)</f>
        <v>0</v>
      </c>
      <c r="O53" s="92">
        <f t="shared" si="28"/>
        <v>0</v>
      </c>
      <c r="P53" s="92"/>
      <c r="Q53" s="92">
        <f t="shared" ref="Q53:Q68" si="37">SUM(B53:E53,G53)</f>
        <v>0</v>
      </c>
      <c r="R53" s="92">
        <f t="shared" si="26"/>
        <v>0</v>
      </c>
      <c r="S53" s="92">
        <f>IF(T52=0,MAX(S$43:S52)+1,MAX(S$43:S52))</f>
        <v>1</v>
      </c>
      <c r="T53" s="92">
        <f t="shared" si="29"/>
        <v>2</v>
      </c>
      <c r="U53" s="92"/>
      <c r="V53" s="92">
        <f t="shared" si="27"/>
        <v>0</v>
      </c>
      <c r="W53" s="92">
        <f>IF(AND(X52=0,X53&lt;&gt;0),MAX(W$43:W52)+1,MAX(W$43:W52))</f>
        <v>1</v>
      </c>
      <c r="X53" s="92">
        <f t="shared" si="30"/>
        <v>2</v>
      </c>
      <c r="Y53" s="92"/>
      <c r="Z53" s="92">
        <f t="shared" ref="Z44:Z59" si="38">IF(V53=0,0,IF(AB53&lt;&gt;AB52,0,IF(SUM(F53:I53)=0,0,1)))</f>
        <v>0</v>
      </c>
      <c r="AA53" s="92">
        <f>IF(AND(AB52=0,AB53&lt;&gt;0),MAX(AA$43:AA52)+1,MAX(AA$43:AA52))</f>
        <v>1</v>
      </c>
      <c r="AB53" s="92">
        <f t="shared" si="31"/>
        <v>2</v>
      </c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</row>
    <row r="54" spans="1:54" s="41" customFormat="1" x14ac:dyDescent="0.3">
      <c r="A54" s="108">
        <f t="shared" si="32"/>
        <v>211</v>
      </c>
      <c r="B54" s="121"/>
      <c r="C54" s="2"/>
      <c r="D54" s="2"/>
      <c r="E54" s="2"/>
      <c r="F54" s="3"/>
      <c r="G54" s="109">
        <f t="shared" si="33"/>
        <v>0</v>
      </c>
      <c r="H54" s="92">
        <f t="shared" si="34"/>
        <v>0</v>
      </c>
      <c r="I54" s="92">
        <f t="shared" si="23"/>
        <v>0</v>
      </c>
      <c r="J54" s="92">
        <f t="shared" si="24"/>
        <v>0</v>
      </c>
      <c r="K54" s="92">
        <f t="shared" si="25"/>
        <v>0</v>
      </c>
      <c r="L54" s="92"/>
      <c r="M54" s="92">
        <f t="shared" si="35"/>
        <v>0</v>
      </c>
      <c r="N54" s="92">
        <f t="shared" si="36"/>
        <v>0</v>
      </c>
      <c r="O54" s="92">
        <f t="shared" si="28"/>
        <v>0</v>
      </c>
      <c r="P54" s="92"/>
      <c r="Q54" s="92">
        <f t="shared" si="37"/>
        <v>0</v>
      </c>
      <c r="R54" s="92">
        <f t="shared" si="26"/>
        <v>0</v>
      </c>
      <c r="S54" s="92">
        <f>IF(T53=0,MAX(S$43:S53)+1,MAX(S$43:S53))</f>
        <v>1</v>
      </c>
      <c r="T54" s="92">
        <f t="shared" si="29"/>
        <v>2</v>
      </c>
      <c r="U54" s="92"/>
      <c r="V54" s="92">
        <f t="shared" si="27"/>
        <v>0</v>
      </c>
      <c r="W54" s="92">
        <f>IF(AND(X53=0,X54&lt;&gt;0),MAX(W$43:W53)+1,MAX(W$43:W53))</f>
        <v>1</v>
      </c>
      <c r="X54" s="92">
        <f t="shared" si="30"/>
        <v>2</v>
      </c>
      <c r="Y54" s="92"/>
      <c r="Z54" s="92">
        <f t="shared" si="38"/>
        <v>0</v>
      </c>
      <c r="AA54" s="92">
        <f>IF(AND(AB53=0,AB54&lt;&gt;0),MAX(AA$43:AA53)+1,MAX(AA$43:AA53))</f>
        <v>1</v>
      </c>
      <c r="AB54" s="92">
        <f t="shared" si="31"/>
        <v>2</v>
      </c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</row>
    <row r="55" spans="1:54" s="41" customFormat="1" x14ac:dyDescent="0.3">
      <c r="A55" s="108">
        <f t="shared" si="32"/>
        <v>212</v>
      </c>
      <c r="B55" s="121"/>
      <c r="C55" s="2"/>
      <c r="D55" s="2"/>
      <c r="E55" s="2"/>
      <c r="F55" s="3"/>
      <c r="G55" s="109">
        <f t="shared" si="33"/>
        <v>0</v>
      </c>
      <c r="H55" s="92">
        <f t="shared" si="34"/>
        <v>0</v>
      </c>
      <c r="I55" s="92">
        <f t="shared" si="23"/>
        <v>0</v>
      </c>
      <c r="J55" s="92">
        <f t="shared" si="24"/>
        <v>0</v>
      </c>
      <c r="K55" s="92">
        <f t="shared" si="25"/>
        <v>0</v>
      </c>
      <c r="L55" s="92"/>
      <c r="M55" s="92">
        <f t="shared" si="35"/>
        <v>0</v>
      </c>
      <c r="N55" s="92">
        <f t="shared" si="36"/>
        <v>0</v>
      </c>
      <c r="O55" s="92">
        <f t="shared" si="28"/>
        <v>0</v>
      </c>
      <c r="P55" s="92"/>
      <c r="Q55" s="92">
        <f t="shared" si="37"/>
        <v>0</v>
      </c>
      <c r="R55" s="92">
        <f t="shared" si="26"/>
        <v>0</v>
      </c>
      <c r="S55" s="92">
        <f>IF(T54=0,MAX(S$43:S54)+1,MAX(S$43:S54))</f>
        <v>1</v>
      </c>
      <c r="T55" s="92">
        <f t="shared" si="29"/>
        <v>2</v>
      </c>
      <c r="U55" s="92"/>
      <c r="V55" s="92">
        <f t="shared" si="27"/>
        <v>0</v>
      </c>
      <c r="W55" s="92">
        <f>IF(AND(X54=0,X55&lt;&gt;0),MAX(W$43:W54)+1,MAX(W$43:W54))</f>
        <v>1</v>
      </c>
      <c r="X55" s="92">
        <f t="shared" si="30"/>
        <v>2</v>
      </c>
      <c r="Y55" s="92"/>
      <c r="Z55" s="92">
        <f t="shared" si="38"/>
        <v>0</v>
      </c>
      <c r="AA55" s="92">
        <f>IF(AND(AB54=0,AB55&lt;&gt;0),MAX(AA$43:AA54)+1,MAX(AA$43:AA54))</f>
        <v>1</v>
      </c>
      <c r="AB55" s="92">
        <f t="shared" si="31"/>
        <v>2</v>
      </c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</row>
    <row r="56" spans="1:54" s="41" customFormat="1" x14ac:dyDescent="0.3">
      <c r="A56" s="108">
        <f t="shared" si="32"/>
        <v>213</v>
      </c>
      <c r="B56" s="2"/>
      <c r="C56" s="2"/>
      <c r="D56" s="2"/>
      <c r="E56" s="2"/>
      <c r="F56" s="3"/>
      <c r="G56" s="109">
        <f t="shared" si="33"/>
        <v>0</v>
      </c>
      <c r="H56" s="92">
        <f t="shared" si="34"/>
        <v>0</v>
      </c>
      <c r="I56" s="92">
        <f t="shared" si="23"/>
        <v>0</v>
      </c>
      <c r="J56" s="92">
        <f t="shared" si="24"/>
        <v>0</v>
      </c>
      <c r="K56" s="92">
        <f t="shared" si="25"/>
        <v>0</v>
      </c>
      <c r="L56" s="92"/>
      <c r="M56" s="92">
        <f t="shared" si="35"/>
        <v>0</v>
      </c>
      <c r="N56" s="92">
        <f t="shared" si="36"/>
        <v>0</v>
      </c>
      <c r="O56" s="92">
        <f t="shared" si="28"/>
        <v>0</v>
      </c>
      <c r="P56" s="92"/>
      <c r="Q56" s="92">
        <f t="shared" si="37"/>
        <v>0</v>
      </c>
      <c r="R56" s="92">
        <f t="shared" si="26"/>
        <v>0</v>
      </c>
      <c r="S56" s="92">
        <f>IF(T55=0,MAX(S$43:S55)+1,MAX(S$43:S55))</f>
        <v>1</v>
      </c>
      <c r="T56" s="92">
        <f t="shared" si="29"/>
        <v>2</v>
      </c>
      <c r="U56" s="92"/>
      <c r="V56" s="92">
        <f t="shared" si="27"/>
        <v>0</v>
      </c>
      <c r="W56" s="92">
        <f>IF(AND(X55=0,X56&lt;&gt;0),MAX(W$43:W55)+1,MAX(W$43:W55))</f>
        <v>1</v>
      </c>
      <c r="X56" s="92">
        <f t="shared" si="30"/>
        <v>2</v>
      </c>
      <c r="Y56" s="92"/>
      <c r="Z56" s="92">
        <f t="shared" si="38"/>
        <v>0</v>
      </c>
      <c r="AA56" s="92">
        <f>IF(AND(AB55=0,AB56&lt;&gt;0),MAX(AA$43:AA55)+1,MAX(AA$43:AA55))</f>
        <v>1</v>
      </c>
      <c r="AB56" s="92">
        <f t="shared" si="31"/>
        <v>2</v>
      </c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</row>
    <row r="57" spans="1:54" s="41" customFormat="1" x14ac:dyDescent="0.3">
      <c r="A57" s="108">
        <f t="shared" si="32"/>
        <v>214</v>
      </c>
      <c r="B57" s="2"/>
      <c r="C57" s="2"/>
      <c r="D57" s="2"/>
      <c r="E57" s="2"/>
      <c r="F57" s="3"/>
      <c r="G57" s="109">
        <f t="shared" si="33"/>
        <v>0</v>
      </c>
      <c r="H57" s="92">
        <f t="shared" si="34"/>
        <v>0</v>
      </c>
      <c r="I57" s="92">
        <f t="shared" si="23"/>
        <v>0</v>
      </c>
      <c r="J57" s="92">
        <f t="shared" si="24"/>
        <v>0</v>
      </c>
      <c r="K57" s="92">
        <f t="shared" si="25"/>
        <v>0</v>
      </c>
      <c r="L57" s="92"/>
      <c r="M57" s="92">
        <f t="shared" si="35"/>
        <v>0</v>
      </c>
      <c r="N57" s="92">
        <f t="shared" si="36"/>
        <v>0</v>
      </c>
      <c r="O57" s="92">
        <f t="shared" si="28"/>
        <v>0</v>
      </c>
      <c r="P57" s="92"/>
      <c r="Q57" s="92">
        <f t="shared" si="37"/>
        <v>0</v>
      </c>
      <c r="R57" s="92">
        <f t="shared" si="26"/>
        <v>0</v>
      </c>
      <c r="S57" s="92">
        <f>IF(T56=0,MAX(S$43:S56)+1,MAX(S$43:S56))</f>
        <v>1</v>
      </c>
      <c r="T57" s="92">
        <f t="shared" si="29"/>
        <v>2</v>
      </c>
      <c r="U57" s="92"/>
      <c r="V57" s="92">
        <f t="shared" si="27"/>
        <v>0</v>
      </c>
      <c r="W57" s="92">
        <f>IF(AND(X56=0,X57&lt;&gt;0),MAX(W$43:W56)+1,MAX(W$43:W56))</f>
        <v>1</v>
      </c>
      <c r="X57" s="92">
        <f t="shared" si="30"/>
        <v>2</v>
      </c>
      <c r="Y57" s="92"/>
      <c r="Z57" s="92">
        <f t="shared" si="38"/>
        <v>0</v>
      </c>
      <c r="AA57" s="92">
        <f>IF(AND(AB56=0,AB57&lt;&gt;0),MAX(AA$43:AA56)+1,MAX(AA$43:AA56))</f>
        <v>1</v>
      </c>
      <c r="AB57" s="92">
        <f t="shared" si="31"/>
        <v>2</v>
      </c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</row>
    <row r="58" spans="1:54" s="41" customFormat="1" x14ac:dyDescent="0.3">
      <c r="A58" s="108">
        <f t="shared" si="32"/>
        <v>215</v>
      </c>
      <c r="B58" s="2"/>
      <c r="C58" s="2"/>
      <c r="D58" s="2"/>
      <c r="E58" s="2"/>
      <c r="F58" s="3"/>
      <c r="G58" s="109">
        <f t="shared" si="33"/>
        <v>0</v>
      </c>
      <c r="H58" s="92">
        <f t="shared" si="34"/>
        <v>0</v>
      </c>
      <c r="I58" s="92">
        <f t="shared" si="23"/>
        <v>0</v>
      </c>
      <c r="J58" s="92">
        <f t="shared" si="24"/>
        <v>0</v>
      </c>
      <c r="K58" s="92">
        <f t="shared" si="25"/>
        <v>0</v>
      </c>
      <c r="L58" s="92"/>
      <c r="M58" s="92">
        <f t="shared" si="35"/>
        <v>0</v>
      </c>
      <c r="N58" s="92">
        <f t="shared" si="36"/>
        <v>0</v>
      </c>
      <c r="O58" s="92">
        <f t="shared" si="28"/>
        <v>0</v>
      </c>
      <c r="P58" s="92"/>
      <c r="Q58" s="92">
        <f t="shared" si="37"/>
        <v>0</v>
      </c>
      <c r="R58" s="92">
        <f t="shared" si="26"/>
        <v>0</v>
      </c>
      <c r="S58" s="92">
        <f>IF(T57=0,MAX(S$43:S57)+1,MAX(S$43:S57))</f>
        <v>1</v>
      </c>
      <c r="T58" s="92">
        <f t="shared" si="29"/>
        <v>2</v>
      </c>
      <c r="U58" s="92"/>
      <c r="V58" s="92">
        <f t="shared" si="27"/>
        <v>0</v>
      </c>
      <c r="W58" s="92">
        <f>IF(AND(X57=0,X58&lt;&gt;0),MAX(W$43:W57)+1,MAX(W$43:W57))</f>
        <v>1</v>
      </c>
      <c r="X58" s="92">
        <f t="shared" si="30"/>
        <v>2</v>
      </c>
      <c r="Y58" s="92"/>
      <c r="Z58" s="92">
        <f t="shared" si="38"/>
        <v>0</v>
      </c>
      <c r="AA58" s="92">
        <f>IF(AND(AB57=0,AB58&lt;&gt;0),MAX(AA$43:AA57)+1,MAX(AA$43:AA57))</f>
        <v>1</v>
      </c>
      <c r="AB58" s="92">
        <f t="shared" si="31"/>
        <v>2</v>
      </c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</row>
    <row r="59" spans="1:54" s="41" customFormat="1" x14ac:dyDescent="0.3">
      <c r="A59" s="108">
        <f t="shared" si="32"/>
        <v>216</v>
      </c>
      <c r="B59" s="2"/>
      <c r="C59" s="2"/>
      <c r="D59" s="2"/>
      <c r="E59" s="2"/>
      <c r="F59" s="3"/>
      <c r="G59" s="109">
        <f t="shared" si="33"/>
        <v>0</v>
      </c>
      <c r="H59" s="92">
        <f t="shared" si="34"/>
        <v>0</v>
      </c>
      <c r="I59" s="92">
        <f t="shared" si="23"/>
        <v>0</v>
      </c>
      <c r="J59" s="92">
        <f t="shared" si="24"/>
        <v>0</v>
      </c>
      <c r="K59" s="92">
        <f t="shared" si="25"/>
        <v>0</v>
      </c>
      <c r="L59" s="92"/>
      <c r="M59" s="92">
        <f t="shared" si="35"/>
        <v>0</v>
      </c>
      <c r="N59" s="92">
        <f t="shared" si="36"/>
        <v>0</v>
      </c>
      <c r="O59" s="92">
        <f t="shared" si="28"/>
        <v>0</v>
      </c>
      <c r="P59" s="92"/>
      <c r="Q59" s="92">
        <f t="shared" si="37"/>
        <v>0</v>
      </c>
      <c r="R59" s="92">
        <f t="shared" si="26"/>
        <v>0</v>
      </c>
      <c r="S59" s="92">
        <f>IF(T58=0,MAX(S$43:S58)+1,MAX(S$43:S58))</f>
        <v>1</v>
      </c>
      <c r="T59" s="92">
        <f t="shared" si="29"/>
        <v>2</v>
      </c>
      <c r="U59" s="92"/>
      <c r="V59" s="92">
        <f t="shared" si="27"/>
        <v>0</v>
      </c>
      <c r="W59" s="92">
        <f>IF(AND(X58=0,X59&lt;&gt;0),MAX(W$43:W58)+1,MAX(W$43:W58))</f>
        <v>1</v>
      </c>
      <c r="X59" s="92">
        <f t="shared" si="30"/>
        <v>2</v>
      </c>
      <c r="Y59" s="92"/>
      <c r="Z59" s="92">
        <f t="shared" si="38"/>
        <v>0</v>
      </c>
      <c r="AA59" s="92">
        <f>IF(AND(AB58=0,AB59&lt;&gt;0),MAX(AA$43:AA58)+1,MAX(AA$43:AA58))</f>
        <v>1</v>
      </c>
      <c r="AB59" s="92">
        <f t="shared" si="31"/>
        <v>2</v>
      </c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</row>
    <row r="60" spans="1:54" s="41" customFormat="1" x14ac:dyDescent="0.3">
      <c r="A60" s="108">
        <f t="shared" si="32"/>
        <v>217</v>
      </c>
      <c r="B60" s="2"/>
      <c r="C60" s="2"/>
      <c r="D60" s="2"/>
      <c r="E60" s="2"/>
      <c r="F60" s="3"/>
      <c r="G60" s="109">
        <f t="shared" si="33"/>
        <v>0</v>
      </c>
      <c r="H60" s="92">
        <f t="shared" si="34"/>
        <v>0</v>
      </c>
      <c r="I60" s="92">
        <f t="shared" si="23"/>
        <v>0</v>
      </c>
      <c r="J60" s="92">
        <f t="shared" si="24"/>
        <v>0</v>
      </c>
      <c r="K60" s="92">
        <f t="shared" si="25"/>
        <v>0</v>
      </c>
      <c r="L60" s="92"/>
      <c r="M60" s="92">
        <f t="shared" si="35"/>
        <v>0</v>
      </c>
      <c r="N60" s="92">
        <f t="shared" si="36"/>
        <v>0</v>
      </c>
      <c r="O60" s="92">
        <f t="shared" si="28"/>
        <v>0</v>
      </c>
      <c r="P60" s="92"/>
      <c r="Q60" s="92">
        <f t="shared" si="37"/>
        <v>0</v>
      </c>
      <c r="R60" s="92">
        <f t="shared" si="26"/>
        <v>0</v>
      </c>
      <c r="S60" s="92">
        <f>IF(T59=0,MAX(S$43:S59)+1,MAX(S$43:S59))</f>
        <v>1</v>
      </c>
      <c r="T60" s="92">
        <f t="shared" si="29"/>
        <v>2</v>
      </c>
      <c r="U60" s="92"/>
      <c r="V60" s="92">
        <f t="shared" si="27"/>
        <v>0</v>
      </c>
      <c r="W60" s="92">
        <f>IF(AND(X59=0,X60&lt;&gt;0),MAX(W$43:W59)+1,MAX(W$43:W59))</f>
        <v>1</v>
      </c>
      <c r="X60" s="92">
        <f t="shared" si="30"/>
        <v>2</v>
      </c>
      <c r="Y60" s="92"/>
      <c r="Z60" s="92">
        <f t="shared" ref="Z60:Z63" si="39">IF(V60=0,0,IF(AB60&lt;&gt;AB59,0,IF(SUM(F60:I60)=0,0,1)))</f>
        <v>0</v>
      </c>
      <c r="AA60" s="92">
        <f>IF(AND(AB59=0,AB60&lt;&gt;0),MAX(AA$43:AA59)+1,MAX(AA$43:AA59))</f>
        <v>1</v>
      </c>
      <c r="AB60" s="92">
        <f t="shared" si="31"/>
        <v>2</v>
      </c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</row>
    <row r="61" spans="1:54" s="41" customFormat="1" x14ac:dyDescent="0.3">
      <c r="A61" s="108">
        <f t="shared" si="32"/>
        <v>218</v>
      </c>
      <c r="B61" s="2"/>
      <c r="C61" s="2"/>
      <c r="D61" s="2"/>
      <c r="E61" s="2"/>
      <c r="F61" s="3"/>
      <c r="G61" s="109">
        <f t="shared" si="33"/>
        <v>0</v>
      </c>
      <c r="H61" s="92">
        <f t="shared" si="34"/>
        <v>0</v>
      </c>
      <c r="I61" s="92">
        <f t="shared" si="23"/>
        <v>0</v>
      </c>
      <c r="J61" s="92">
        <f t="shared" si="24"/>
        <v>0</v>
      </c>
      <c r="K61" s="92">
        <f t="shared" si="25"/>
        <v>0</v>
      </c>
      <c r="L61" s="92"/>
      <c r="M61" s="92">
        <f t="shared" si="35"/>
        <v>0</v>
      </c>
      <c r="N61" s="92">
        <f t="shared" si="36"/>
        <v>0</v>
      </c>
      <c r="O61" s="92">
        <f t="shared" si="28"/>
        <v>0</v>
      </c>
      <c r="P61" s="92"/>
      <c r="Q61" s="92">
        <f t="shared" si="37"/>
        <v>0</v>
      </c>
      <c r="R61" s="92">
        <f t="shared" si="26"/>
        <v>0</v>
      </c>
      <c r="S61" s="92">
        <f>IF(T60=0,MAX(S$43:S60)+1,MAX(S$43:S60))</f>
        <v>1</v>
      </c>
      <c r="T61" s="92">
        <f t="shared" si="29"/>
        <v>2</v>
      </c>
      <c r="U61" s="92"/>
      <c r="V61" s="92">
        <f t="shared" si="27"/>
        <v>0</v>
      </c>
      <c r="W61" s="92">
        <f>IF(AND(X60=0,X61&lt;&gt;0),MAX(W$43:W60)+1,MAX(W$43:W60))</f>
        <v>1</v>
      </c>
      <c r="X61" s="92">
        <f t="shared" si="30"/>
        <v>2</v>
      </c>
      <c r="Y61" s="92"/>
      <c r="Z61" s="92">
        <f t="shared" si="39"/>
        <v>0</v>
      </c>
      <c r="AA61" s="92">
        <f>IF(AND(AB60=0,AB61&lt;&gt;0),MAX(AA$43:AA60)+1,MAX(AA$43:AA60))</f>
        <v>1</v>
      </c>
      <c r="AB61" s="92">
        <f t="shared" si="31"/>
        <v>2</v>
      </c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</row>
    <row r="62" spans="1:54" s="41" customFormat="1" x14ac:dyDescent="0.3">
      <c r="A62" s="108">
        <f t="shared" si="32"/>
        <v>219</v>
      </c>
      <c r="B62" s="2"/>
      <c r="C62" s="2"/>
      <c r="D62" s="2"/>
      <c r="E62" s="2"/>
      <c r="F62" s="3"/>
      <c r="G62" s="109">
        <f t="shared" si="33"/>
        <v>0</v>
      </c>
      <c r="H62" s="92">
        <f t="shared" si="34"/>
        <v>0</v>
      </c>
      <c r="I62" s="92">
        <f t="shared" si="23"/>
        <v>0</v>
      </c>
      <c r="J62" s="92">
        <f t="shared" si="24"/>
        <v>0</v>
      </c>
      <c r="K62" s="92">
        <f t="shared" si="25"/>
        <v>0</v>
      </c>
      <c r="L62" s="92"/>
      <c r="M62" s="92">
        <f t="shared" si="35"/>
        <v>0</v>
      </c>
      <c r="N62" s="92">
        <f t="shared" si="36"/>
        <v>0</v>
      </c>
      <c r="O62" s="92">
        <f t="shared" si="28"/>
        <v>0</v>
      </c>
      <c r="P62" s="92"/>
      <c r="Q62" s="92">
        <f t="shared" si="37"/>
        <v>0</v>
      </c>
      <c r="R62" s="92">
        <f t="shared" si="26"/>
        <v>0</v>
      </c>
      <c r="S62" s="92">
        <f>IF(T61=0,MAX(S$43:S61)+1,MAX(S$43:S61))</f>
        <v>1</v>
      </c>
      <c r="T62" s="92">
        <f t="shared" si="29"/>
        <v>2</v>
      </c>
      <c r="U62" s="92"/>
      <c r="V62" s="92">
        <f t="shared" si="27"/>
        <v>0</v>
      </c>
      <c r="W62" s="92">
        <f>IF(AND(X61=0,X62&lt;&gt;0),MAX(W$43:W61)+1,MAX(W$43:W61))</f>
        <v>1</v>
      </c>
      <c r="X62" s="92">
        <f t="shared" si="30"/>
        <v>2</v>
      </c>
      <c r="Y62" s="92"/>
      <c r="Z62" s="92">
        <f t="shared" si="39"/>
        <v>0</v>
      </c>
      <c r="AA62" s="92">
        <f>IF(AND(AB61=0,AB62&lt;&gt;0),MAX(AA$43:AA61)+1,MAX(AA$43:AA61))</f>
        <v>1</v>
      </c>
      <c r="AB62" s="92">
        <f t="shared" si="31"/>
        <v>2</v>
      </c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</row>
    <row r="63" spans="1:54" s="41" customFormat="1" x14ac:dyDescent="0.3">
      <c r="A63" s="110">
        <f t="shared" si="32"/>
        <v>220</v>
      </c>
      <c r="B63" s="2"/>
      <c r="C63" s="2"/>
      <c r="D63" s="2"/>
      <c r="E63" s="2"/>
      <c r="F63" s="3"/>
      <c r="G63" s="109">
        <f>IF($C$3="Дротова",0,ROUNDUP(F63/2,0))</f>
        <v>0</v>
      </c>
      <c r="H63" s="92">
        <f>COUNTIF(B63:E63,"&gt;0")+COUNTIF(G63,"&gt;0")-SUMPRODUCT((B63&gt;0)*(C63&gt;0))-SUMPRODUCT((D63&gt;0)*(E63&gt;0))</f>
        <v>0</v>
      </c>
      <c r="I63" s="92">
        <f t="shared" si="23"/>
        <v>0</v>
      </c>
      <c r="J63" s="92">
        <f t="shared" si="24"/>
        <v>0</v>
      </c>
      <c r="K63" s="92">
        <f t="shared" si="25"/>
        <v>0</v>
      </c>
      <c r="L63" s="92"/>
      <c r="M63" s="92">
        <f t="shared" si="35"/>
        <v>0</v>
      </c>
      <c r="N63" s="92">
        <f t="shared" si="36"/>
        <v>0</v>
      </c>
      <c r="O63" s="92">
        <f t="shared" si="28"/>
        <v>0</v>
      </c>
      <c r="P63" s="92"/>
      <c r="Q63" s="92">
        <f t="shared" si="37"/>
        <v>0</v>
      </c>
      <c r="R63" s="92">
        <f t="shared" si="26"/>
        <v>0</v>
      </c>
      <c r="S63" s="92">
        <f>IF(T62=0,MAX(S$43:S62)+1,MAX(S$43:S62))</f>
        <v>1</v>
      </c>
      <c r="T63" s="92">
        <f t="shared" si="29"/>
        <v>2</v>
      </c>
      <c r="U63" s="92"/>
      <c r="V63" s="92">
        <f t="shared" si="27"/>
        <v>0</v>
      </c>
      <c r="W63" s="92">
        <f>IF(AND(X62=0,X63&lt;&gt;0),MAX(W$43:W62)+1,MAX(W$43:W62))</f>
        <v>1</v>
      </c>
      <c r="X63" s="92">
        <f t="shared" si="30"/>
        <v>2</v>
      </c>
      <c r="Y63" s="92"/>
      <c r="Z63" s="92">
        <f t="shared" si="39"/>
        <v>0</v>
      </c>
      <c r="AA63" s="92">
        <f>IF(AND(AB62=0,AB63&lt;&gt;0),MAX(AA$43:AA62)+1,MAX(AA$43:AA62))</f>
        <v>1</v>
      </c>
      <c r="AB63" s="92">
        <f t="shared" si="31"/>
        <v>2</v>
      </c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</row>
    <row r="64" spans="1:54" s="92" customFormat="1" x14ac:dyDescent="0.3">
      <c r="B64" s="109">
        <f>SUBTOTAL(9,B44:B63)</f>
        <v>12</v>
      </c>
      <c r="C64" s="109">
        <f>SUBTOTAL(9,C44:C63)</f>
        <v>0</v>
      </c>
      <c r="D64" s="109">
        <f>SUBTOTAL(9,D44:D63)</f>
        <v>0</v>
      </c>
      <c r="E64" s="109">
        <f>SUBTOTAL(9,E44:E63)</f>
        <v>0</v>
      </c>
      <c r="F64" s="109">
        <f>SUBTOTAL(9,F44:F63)</f>
        <v>0</v>
      </c>
      <c r="G64" s="109">
        <f>SUM(G44:G63)</f>
        <v>0</v>
      </c>
      <c r="Q64" s="92">
        <f t="shared" si="37"/>
        <v>12</v>
      </c>
      <c r="R64" s="92">
        <f t="array" ref="R64">MIN(IF(R44:R63=1,Q44:Q63))</f>
        <v>0</v>
      </c>
      <c r="T64" s="92">
        <f t="shared" si="29"/>
        <v>2</v>
      </c>
      <c r="X64" s="92">
        <f>SUMPRODUCT(V44:V63,$Q44:$Q63)</f>
        <v>0</v>
      </c>
    </row>
    <row r="65" spans="1:68" s="92" customFormat="1" x14ac:dyDescent="0.3">
      <c r="A65" s="109">
        <f t="array" aca="1" ref="A65" ca="1">SUM(LARGE(B44:B63,ROW(INDIRECT("a1:a"&amp;ROUNDUP(COUNTIF(B44:B63,"&gt;0")/2,0)))))</f>
        <v>8</v>
      </c>
      <c r="B65" s="109">
        <f t="array" ref="B65">SUM(IF(($S$44:$S$63=1)*(B$44:B$63&gt;0)*($R$44:$R$63=0)+(B$44:B$63&gt;0)*($W$44:$W$63=1)*($V$44:$V$63&lt;&gt;$R$44:$R$63)+(B$44:B$63&gt;0)*($Z$44:$Z$63&lt;&gt;$V$44:$V$63)*($AA$44:$AA$63=1),B$44:B$63,0))</f>
        <v>12</v>
      </c>
      <c r="C65" s="109">
        <f t="array" ref="C65">SUM(IF(($S$44:$S$63=1)*(C$44:C$63&gt;0)*($R$44:$R$63=0)+(C$44:C$63&gt;0)*($W$44:$W$63=1)*($V$44:$V$63&lt;&gt;$R$44:$R$63)+(C$44:C$63&gt;0)*($Z$44:$Z$63&lt;&gt;$V$44:$V$63)*($AA$44:$AA$63=1),C$44:C$63,0))</f>
        <v>0</v>
      </c>
      <c r="D65" s="109">
        <f t="array" ref="D65">SUM(IF(($S$44:$S$63=1)*(D$44:D$63&gt;0)*($R$44:$R$63=0)+(D$44:D$63&gt;0)*($W$44:$W$63=1)*($V$44:$V$63&lt;&gt;$R$44:$R$63)+(D$44:D$63&gt;0)*($Z$44:$Z$63&lt;&gt;$V$44:$V$63)*($AA$44:$AA$63=1),D$44:D$63,0))</f>
        <v>0</v>
      </c>
      <c r="E65" s="109">
        <f t="array" ref="E65">SUM(IF(($S$44:$S$63=1)*(E$44:E$63&gt;0)*($R$44:$R$63=0)+(E$44:E$63&gt;0)*($W$44:$W$63=1)*($V$44:$V$63&lt;&gt;$R$44:$R$63)+(E$44:E$63&gt;0)*($Z$44:$Z$63&lt;&gt;$V$44:$V$63)*($AA$44:$AA$63=1),E$44:E$63,0))</f>
        <v>0</v>
      </c>
      <c r="F65" s="109">
        <f t="array" ref="F65">SUM(IF(($S$44:$S$63=1)*(F$44:F$63&gt;0)*($R$44:$R$63=0)+(F$44:F$63&gt;0)*($W$44:$W$63=1)*($V$44:$V$63&lt;&gt;$R$44:$R$63)+(F$44:F$63&gt;0)*($Z$44:$Z$63&lt;&gt;$V$44:$V$63)*($AA$44:$AA$63=1),F$44:F$63,0))</f>
        <v>0</v>
      </c>
      <c r="G65" s="109">
        <f t="array" ref="G65">SUM(IF(($S$44:$S$63=1)*(G$44:G$63&gt;0)*($R$44:$R$63=0)+(G$44:G$63&gt;0)*($W$44:$W$63=1)*($V$44:$V$63&lt;&gt;$R$44:$R$63)+(G$44:G$63&gt;0)*($Z$44:$Z$63&lt;&gt;$V$44:$V$63)*($AA$44:$AA$63=1),G$44:G$63,0))</f>
        <v>0</v>
      </c>
      <c r="Q65" s="92">
        <f t="shared" si="37"/>
        <v>12</v>
      </c>
    </row>
    <row r="66" spans="1:68" s="92" customFormat="1" x14ac:dyDescent="0.3">
      <c r="A66" s="109">
        <f>IF(B64&lt;=14,B64,B65)</f>
        <v>12</v>
      </c>
      <c r="B66" s="109">
        <f t="array" ref="B66">SUM(IF(($S$44:$S$63=2)*(B$44:B$63&gt;0)*($R$44:$R$63=0)+(B$44:B$63&gt;0)*($W$44:$W$63=2)*($V$44:$V$63&lt;&gt;$R$44:$R$63)+(B$44:B$63&gt;0)*($Z$44:$Z$63&lt;&gt;$V$44:$V$63)*($AA$44:$AA$63=2),B$44:B$63,0))</f>
        <v>0</v>
      </c>
      <c r="C66" s="109">
        <f t="array" ref="C66">SUM(IF(($S$44:$S$63=2)*(C$44:C$63&gt;0)*($R$44:$R$63=0)+(C$44:C$63&gt;0)*($W$44:$W$63=2)*($V$44:$V$63&lt;&gt;$R$44:$R$63)+(C$44:C$63&gt;0)*($Z$44:$Z$63&lt;&gt;$V$44:$V$63)*($AA$44:$AA$63=2),C$44:C$63,0))</f>
        <v>0</v>
      </c>
      <c r="D66" s="109">
        <f t="array" ref="D66">SUM(IF(($S$44:$S$63=2)*(D$44:D$63&gt;0)*($R$44:$R$63=0)+(D$44:D$63&gt;0)*($W$44:$W$63=2)*($V$44:$V$63&lt;&gt;$R$44:$R$63)+(D$44:D$63&gt;0)*($Z$44:$Z$63&lt;&gt;$V$44:$V$63)*($AA$44:$AA$63=2),D$44:D$63,0))</f>
        <v>0</v>
      </c>
      <c r="E66" s="109">
        <f t="array" ref="E66">SUM(IF(($S$44:$S$63=2)*(E$44:E$63&gt;0)*($R$44:$R$63=0)+(E$44:E$63&gt;0)*($W$44:$W$63=2)*($V$44:$V$63&lt;&gt;$R$44:$R$63)+(E$44:E$63&gt;0)*($Z$44:$Z$63&lt;&gt;$V$44:$V$63)*($AA$44:$AA$63=2),E$44:E$63,0))</f>
        <v>0</v>
      </c>
      <c r="F66" s="109">
        <f t="array" ref="F66">SUM(IF(($S$44:$S$63=2)*(F$44:F$63&gt;0)*($R$44:$R$63=0)+(F$44:F$63&gt;0)*($W$44:$W$63=2)*($V$44:$V$63&lt;&gt;$R$44:$R$63)+(F$44:F$63&gt;0)*($Z$44:$Z$63&lt;&gt;$V$44:$V$63)*($AA$44:$AA$63=2),F$44:F$63,0))</f>
        <v>0</v>
      </c>
      <c r="G66" s="109">
        <f t="array" ref="G66">SUM(IF(($S$44:$S$63=2)*(G$44:G$63&gt;0)*($R$44:$R$63=0)+(G$44:G$63&gt;0)*($W$44:$W$63=2)*($V$44:$V$63&lt;&gt;$R$44:$R$63)+(G$44:G$63&gt;0)*($Z$44:$Z$63&lt;&gt;$V$44:$V$63)*($AA$44:$AA$63=2),G$44:G$63,0))</f>
        <v>0</v>
      </c>
      <c r="Q66" s="92">
        <f t="shared" si="37"/>
        <v>0</v>
      </c>
    </row>
    <row r="67" spans="1:68" s="92" customFormat="1" x14ac:dyDescent="0.3">
      <c r="A67" s="109">
        <f>IF(C64&lt;=14,C64,C65)</f>
        <v>0</v>
      </c>
      <c r="B67" s="109">
        <f t="array" ref="B67">SUM(IF(($S$44:$S$63=3)*(B$44:B$63&gt;0)*($R$44:$R$63=0)+(B$44:B$63&gt;0)*($W$44:$W$63=3)*($V$44:$V$63&lt;&gt;$R$44:$R$63)+(B$44:B$63&gt;0)*($Z$44:$Z$63&lt;&gt;$V$44:$V$63)*($AA$44:$AA$63=3),B$44:B$63,0))</f>
        <v>0</v>
      </c>
      <c r="C67" s="109">
        <f t="array" ref="C67">SUM(IF(($S$44:$S$63=3)*(C$44:C$63&gt;0)*($R$44:$R$63=0)+(C$44:C$63&gt;0)*($W$44:$W$63=3)*($V$44:$V$63&lt;&gt;$R$44:$R$63)+(C$44:C$63&gt;0)*($Z$44:$Z$63&lt;&gt;$V$44:$V$63)*($AA$44:$AA$63=3),C$44:C$63,0))</f>
        <v>0</v>
      </c>
      <c r="D67" s="109">
        <f t="array" ref="D67">SUM(IF(($S$44:$S$63=3)*(D$44:D$63&gt;0)*($R$44:$R$63=0)+(D$44:D$63&gt;0)*($W$44:$W$63=3)*($V$44:$V$63&lt;&gt;$R$44:$R$63)+(D$44:D$63&gt;0)*($Z$44:$Z$63&lt;&gt;$V$44:$V$63)*($AA$44:$AA$63=3),D$44:D$63,0))</f>
        <v>0</v>
      </c>
      <c r="E67" s="109">
        <f t="array" ref="E67">SUM(IF(($S$44:$S$63=3)*(E$44:E$63&gt;0)*($R$44:$R$63=0)+(E$44:E$63&gt;0)*($W$44:$W$63=3)*($V$44:$V$63&lt;&gt;$R$44:$R$63)+(E$44:E$63&gt;0)*($Z$44:$Z$63&lt;&gt;$V$44:$V$63)*($AA$44:$AA$63=3),E$44:E$63,0))</f>
        <v>0</v>
      </c>
      <c r="F67" s="109">
        <f t="array" ref="F67">SUM(IF(($S$44:$S$63=3)*(F$44:F$63&gt;0)*($R$44:$R$63=0)+(F$44:F$63&gt;0)*($W$44:$W$63=3)*($V$44:$V$63&lt;&gt;$R$44:$R$63)+(F$44:F$63&gt;0)*($Z$44:$Z$63&lt;&gt;$V$44:$V$63)*($AA$44:$AA$63=3),F$44:F$63,0))</f>
        <v>0</v>
      </c>
      <c r="G67" s="109">
        <f t="array" ref="G67">SUM(IF(($S$44:$S$63=3)*(G$44:G$63&gt;0)*($R$44:$R$63=0)+(G$44:G$63&gt;0)*($W$44:$W$63=3)*($V$44:$V$63&lt;&gt;$R$44:$R$63)+(G$44:G$63&gt;0)*($Z$44:$Z$63&lt;&gt;$V$44:$V$63)*($AA$44:$AA$63=3),G$44:G$63,0))</f>
        <v>0</v>
      </c>
      <c r="Q67" s="92">
        <f t="shared" si="37"/>
        <v>0</v>
      </c>
    </row>
    <row r="68" spans="1:68" s="92" customFormat="1" x14ac:dyDescent="0.3">
      <c r="B68" s="109">
        <f t="array" ref="B68">SUM(IF(($S$44:$S$63=4)*(B$44:B$63&gt;0)*($R$44:$R$63=0)+(B$44:B$63&gt;0)*($W$44:$W$63=4)*($V$44:$V$63&lt;&gt;$R$44:$R$63)+(B$44:B$63&gt;0)*($Z$44:$Z$63&lt;&gt;$V$44:$V$63)*($AA$44:$AA$63=4),B$44:B$63,0))</f>
        <v>0</v>
      </c>
      <c r="C68" s="109">
        <f t="array" ref="C68">SUM(IF(($S$44:$S$63=4)*(C$44:C$63&gt;0)*($R$44:$R$63=0)+(C$44:C$63&gt;0)*($W$44:$W$63=4)*($V$44:$V$63&lt;&gt;$R$44:$R$63)+(C$44:C$63&gt;0)*($Z$44:$Z$63&lt;&gt;$V$44:$V$63)*($AA$44:$AA$63=4),C$44:C$63,0))</f>
        <v>0</v>
      </c>
      <c r="D68" s="109">
        <f t="array" ref="D68">SUM(IF(($S$44:$S$63=4)*(D$44:D$63&gt;0)*($R$44:$R$63=0)+(D$44:D$63&gt;0)*($W$44:$W$63=4)*($V$44:$V$63&lt;&gt;$R$44:$R$63)+(D$44:D$63&gt;0)*($Z$44:$Z$63&lt;&gt;$V$44:$V$63)*($AA$44:$AA$63=4),D$44:D$63,0))</f>
        <v>0</v>
      </c>
      <c r="E68" s="109">
        <f t="array" ref="E68">SUM(IF(($S$44:$S$63=4)*(E$44:E$63&gt;0)*($R$44:$R$63=0)+(E$44:E$63&gt;0)*($W$44:$W$63=4)*($V$44:$V$63&lt;&gt;$R$44:$R$63)+(E$44:E$63&gt;0)*($Z$44:$Z$63&lt;&gt;$V$44:$V$63)*($AA$44:$AA$63=4),E$44:E$63,0))</f>
        <v>0</v>
      </c>
      <c r="F68" s="109">
        <f t="array" ref="F68">SUM(IF(($S$44:$S$63=4)*(F$44:F$63&gt;0)*($R$44:$R$63=0)+(F$44:F$63&gt;0)*($W$44:$W$63=4)*($V$44:$V$63&lt;&gt;$R$44:$R$63)+(F$44:F$63&gt;0)*($Z$44:$Z$63&lt;&gt;$V$44:$V$63)*($AA$44:$AA$63=4),F$44:F$63,0))</f>
        <v>0</v>
      </c>
      <c r="G68" s="109">
        <f t="array" ref="G68">SUM(IF(($S$44:$S$63=4)*(G$44:G$63&gt;0)*($R$44:$R$63=0)+(G$44:G$63&gt;0)*($W$44:$W$63=4)*($V$44:$V$63&lt;&gt;$R$44:$R$63)+(G$44:G$63&gt;0)*($Z$44:$Z$63&lt;&gt;$V$44:$V$63)*($AA$44:$AA$63=4),G$44:G$63,0))</f>
        <v>0</v>
      </c>
      <c r="Q68" s="92">
        <f t="shared" si="37"/>
        <v>0</v>
      </c>
    </row>
    <row r="69" spans="1:68" s="92" customFormat="1" x14ac:dyDescent="0.3">
      <c r="B69" s="111">
        <f>(SUMPRODUCT((B65:B68&gt;0)*(C65:C68&gt;0))*SUMPRODUCT((B44:B63&gt;0)*(C44:C63&gt;0))&gt;0)*(1+(B64&gt;A66))</f>
        <v>0</v>
      </c>
      <c r="C69" s="109"/>
      <c r="D69" s="111">
        <f>(SUMPRODUCT((D65:D68&gt;0)*(E65:E68&gt;0))*SUMPRODUCT((D44:D63&gt;0)*(E44:E63&gt;0))&gt;0)*1</f>
        <v>0</v>
      </c>
      <c r="E69" s="109"/>
      <c r="F69" s="109"/>
      <c r="G69" s="109"/>
    </row>
    <row r="70" spans="1:68" s="41" customFormat="1" x14ac:dyDescent="0.3">
      <c r="A70" s="157" t="s">
        <v>61</v>
      </c>
      <c r="B70" s="158"/>
      <c r="C70" s="158"/>
      <c r="D70" s="158"/>
      <c r="E70" s="158"/>
      <c r="F70" s="159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</row>
    <row r="71" spans="1:68" s="41" customFormat="1" ht="30.75" customHeight="1" x14ac:dyDescent="0.3">
      <c r="A71" s="112"/>
      <c r="B71" s="160" t="s">
        <v>21</v>
      </c>
      <c r="C71" s="161">
        <f>COUNTIF(I72:AV72,"=1")</f>
        <v>0</v>
      </c>
      <c r="D71" s="98" t="s">
        <v>22</v>
      </c>
      <c r="E71" s="96"/>
      <c r="F71" s="100" t="s">
        <v>20</v>
      </c>
      <c r="G71" s="92"/>
      <c r="H71" s="92"/>
      <c r="I71" s="92" t="e">
        <f>IF(INDEX($R75:$R94,MATCH(I73,$A75:$A94,0))=0,INDEX($S75:$S94,MATCH(I73,$A75:$A94,0)),IF(INDEX($V75:$V94,MATCH(I73,$A75:$A94,0))=0,INDEX($W75:$W94,MATCH(I73,$A75:$A94,0)),IF(INDEX($Z75:$Z94,MATCH(I73,$A75:$A94,0))=0,INDEX($AA75:$AA94,MATCH(I73,$A75:$A94,0)),"")))</f>
        <v>#N/A</v>
      </c>
      <c r="J71" s="92" t="e">
        <f t="shared" ref="J71" si="40">IF(INDEX($R75:$R94,MATCH(J73,$A75:$A94,0))=0,INDEX($S75:$S94,MATCH(J73,$A75:$A94,0)),IF(INDEX($V75:$V94,MATCH(J73,$A75:$A94,0))=0,INDEX($W75:$W94,MATCH(J73,$A75:$A94,0)),IF(INDEX($Z75:$Z94,MATCH(J73,$A75:$A94,0))=0,INDEX($AA75:$AA94,MATCH(J73,$A75:$A94,0)),"")))</f>
        <v>#N/A</v>
      </c>
      <c r="K71" s="92" t="e">
        <f>IF(INDEX($R75:$R94,MATCH(K73,$A75:$A94,0))=0,INDEX($S75:$S94,MATCH(K73,$A75:$A94,0)),IF(INDEX($V75:$V94,MATCH(K73,$A75:$A94,0))=0,INDEX($W75:$W94,MATCH(K73,$A75:$A94,0)),IF(INDEX($Z75:$Z94,MATCH(K73,$A75:$A94,0))=0,INDEX($AA75:$AA94,MATCH(K73,$A75:$A94,0)),"")))</f>
        <v>#N/A</v>
      </c>
      <c r="L71" s="92" t="e">
        <f t="shared" ref="L71:AV71" si="41">IF(INDEX($R75:$R94,MATCH(L73,$A75:$A94,0))=0,INDEX($S75:$S94,MATCH(L73,$A75:$A94,0)),IF(INDEX($V75:$V94,MATCH(L73,$A75:$A94,0))=0,INDEX($W75:$W94,MATCH(L73,$A75:$A94,0)),IF(INDEX($Z75:$Z94,MATCH(L73,$A75:$A94,0))=0,INDEX($AA75:$AA94,MATCH(L73,$A75:$A94,0)),"")))</f>
        <v>#N/A</v>
      </c>
      <c r="M71" s="92" t="e">
        <f t="shared" si="41"/>
        <v>#N/A</v>
      </c>
      <c r="N71" s="92" t="e">
        <f t="shared" si="41"/>
        <v>#N/A</v>
      </c>
      <c r="O71" s="92" t="e">
        <f t="shared" si="41"/>
        <v>#N/A</v>
      </c>
      <c r="P71" s="92" t="e">
        <f t="shared" si="41"/>
        <v>#N/A</v>
      </c>
      <c r="Q71" s="92" t="e">
        <f t="shared" si="41"/>
        <v>#N/A</v>
      </c>
      <c r="R71" s="92" t="e">
        <f t="shared" si="41"/>
        <v>#N/A</v>
      </c>
      <c r="S71" s="92" t="e">
        <f t="shared" si="41"/>
        <v>#N/A</v>
      </c>
      <c r="T71" s="92" t="e">
        <f t="shared" si="41"/>
        <v>#N/A</v>
      </c>
      <c r="U71" s="92" t="e">
        <f t="shared" si="41"/>
        <v>#N/A</v>
      </c>
      <c r="V71" s="92" t="e">
        <f t="shared" si="41"/>
        <v>#N/A</v>
      </c>
      <c r="W71" s="92" t="e">
        <f t="shared" si="41"/>
        <v>#N/A</v>
      </c>
      <c r="X71" s="92" t="e">
        <f t="shared" si="41"/>
        <v>#N/A</v>
      </c>
      <c r="Y71" s="92" t="e">
        <f t="shared" si="41"/>
        <v>#N/A</v>
      </c>
      <c r="Z71" s="92" t="e">
        <f t="shared" si="41"/>
        <v>#N/A</v>
      </c>
      <c r="AA71" s="92" t="e">
        <f t="shared" si="41"/>
        <v>#N/A</v>
      </c>
      <c r="AB71" s="92" t="e">
        <f t="shared" si="41"/>
        <v>#N/A</v>
      </c>
      <c r="AC71" s="92" t="e">
        <f t="shared" si="41"/>
        <v>#N/A</v>
      </c>
      <c r="AD71" s="92" t="e">
        <f t="shared" si="41"/>
        <v>#N/A</v>
      </c>
      <c r="AE71" s="92" t="e">
        <f t="shared" si="41"/>
        <v>#N/A</v>
      </c>
      <c r="AF71" s="92" t="e">
        <f t="shared" si="41"/>
        <v>#N/A</v>
      </c>
      <c r="AG71" s="92" t="e">
        <f t="shared" si="41"/>
        <v>#N/A</v>
      </c>
      <c r="AH71" s="92" t="e">
        <f t="shared" si="41"/>
        <v>#N/A</v>
      </c>
      <c r="AI71" s="92" t="e">
        <f t="shared" si="41"/>
        <v>#N/A</v>
      </c>
      <c r="AJ71" s="92" t="e">
        <f t="shared" si="41"/>
        <v>#N/A</v>
      </c>
      <c r="AK71" s="92" t="e">
        <f t="shared" si="41"/>
        <v>#N/A</v>
      </c>
      <c r="AL71" s="92" t="e">
        <f t="shared" si="41"/>
        <v>#N/A</v>
      </c>
      <c r="AM71" s="92" t="e">
        <f t="shared" si="41"/>
        <v>#N/A</v>
      </c>
      <c r="AN71" s="92" t="e">
        <f t="shared" si="41"/>
        <v>#N/A</v>
      </c>
      <c r="AO71" s="92" t="e">
        <f t="shared" si="41"/>
        <v>#N/A</v>
      </c>
      <c r="AP71" s="92" t="e">
        <f t="shared" si="41"/>
        <v>#N/A</v>
      </c>
      <c r="AQ71" s="92" t="e">
        <f t="shared" si="41"/>
        <v>#N/A</v>
      </c>
      <c r="AR71" s="92" t="e">
        <f t="shared" si="41"/>
        <v>#N/A</v>
      </c>
      <c r="AS71" s="92" t="e">
        <f t="shared" si="41"/>
        <v>#N/A</v>
      </c>
      <c r="AT71" s="92" t="e">
        <f t="shared" si="41"/>
        <v>#N/A</v>
      </c>
      <c r="AU71" s="92" t="e">
        <f t="shared" si="41"/>
        <v>#N/A</v>
      </c>
      <c r="AV71" s="92" t="e">
        <f t="shared" si="41"/>
        <v>#N/A</v>
      </c>
      <c r="AW71" s="92"/>
      <c r="AX71" s="92"/>
      <c r="AY71" s="92"/>
      <c r="AZ71" s="92"/>
      <c r="BA71" s="92"/>
      <c r="BB71" s="92"/>
    </row>
    <row r="72" spans="1:68" s="41" customFormat="1" x14ac:dyDescent="0.3">
      <c r="A72" s="112"/>
      <c r="B72" s="160"/>
      <c r="C72" s="162"/>
      <c r="D72" s="96">
        <f>B95+C95+D95+E95</f>
        <v>0</v>
      </c>
      <c r="E72" s="96"/>
      <c r="F72" s="101">
        <f>COUNTIF(I72:AV72,"&lt;3")+G95</f>
        <v>0</v>
      </c>
      <c r="G72" s="92"/>
      <c r="H72" s="92"/>
      <c r="I72" s="92" t="str">
        <f t="array" ref="I72">IFERROR(INDEX($M$1:$O94,SMALL(IF($M75:$O94&gt;0,ROW($M75:$O94)),COLUMN(A$1)),MOD(SMALL(IF($M75:$O94&gt;0,ROW($M75:$O94)+(COLUMN($M75:$O94)-12)%),COLUMN(A$1)),1)/1%),"")</f>
        <v/>
      </c>
      <c r="J72" s="92" t="str">
        <f t="array" ref="J72">IFERROR(INDEX($M$1:$O94,SMALL(IF($M75:$O94&gt;0,ROW($M75:$O94)),COLUMN(B$1)),MOD(SMALL(IF($M75:$O94&gt;0,ROW($M75:$O94)+(COLUMN($M75:$O94)-12)%),COLUMN(B$1)),1)/1%),"")</f>
        <v/>
      </c>
      <c r="K72" s="92" t="str">
        <f t="array" ref="K72">IFERROR(INDEX($M$1:$O94,SMALL(IF($M75:$O94&gt;0,ROW($M75:$O94)),COLUMN(C$1)),MOD(SMALL(IF($M75:$O94&gt;0,ROW($M75:$O94)+(COLUMN($M75:$O94)-12)%),COLUMN(C$1)),1)/1%),"")</f>
        <v/>
      </c>
      <c r="L72" s="92" t="str">
        <f t="array" ref="L72">IFERROR(INDEX($M$1:$O94,SMALL(IF($M75:$O94&gt;0,ROW($M75:$O94)),COLUMN(D$1)),MOD(SMALL(IF($M75:$O94&gt;0,ROW($M75:$O94)+(COLUMN($M75:$O94)-12)%),COLUMN(D$1)),1)/1%),"")</f>
        <v/>
      </c>
      <c r="M72" s="92" t="str">
        <f t="array" ref="M72">IFERROR(INDEX($M$1:$O94,SMALL(IF($M75:$O94&gt;0,ROW($M75:$O94)),COLUMN(E$1)),MOD(SMALL(IF($M75:$O94&gt;0,ROW($M75:$O94)+(COLUMN($M75:$O94)-12)%),COLUMN(E$1)),1)/1%),"")</f>
        <v/>
      </c>
      <c r="N72" s="92" t="str">
        <f t="array" ref="N72">IFERROR(INDEX($M$1:$O94,SMALL(IF($M75:$O94&gt;0,ROW($M75:$O94)),COLUMN(F$1)),MOD(SMALL(IF($M75:$O94&gt;0,ROW($M75:$O94)+(COLUMN($M75:$O94)-12)%),COLUMN(F$1)),1)/1%),"")</f>
        <v/>
      </c>
      <c r="O72" s="92" t="str">
        <f t="array" ref="O72">IFERROR(INDEX($M$1:$O94,SMALL(IF($M75:$O94&gt;0,ROW($M75:$O94)),COLUMN(G$1)),MOD(SMALL(IF($M75:$O94&gt;0,ROW($M75:$O94)+(COLUMN($M75:$O94)-12)%),COLUMN(G$1)),1)/1%),"")</f>
        <v/>
      </c>
      <c r="P72" s="92" t="str">
        <f t="array" ref="P72">IFERROR(INDEX($M$1:$O94,SMALL(IF($M75:$O94&gt;0,ROW($M75:$O94)),COLUMN(H$1)),MOD(SMALL(IF($M75:$O94&gt;0,ROW($M75:$O94)+(COLUMN($M75:$O94)-12)%),COLUMN(H$1)),1)/1%),"")</f>
        <v/>
      </c>
      <c r="Q72" s="92" t="str">
        <f t="array" ref="Q72">IFERROR(INDEX($M$1:$O94,SMALL(IF($M75:$O94&gt;0,ROW($M75:$O94)),COLUMN(I$1)),MOD(SMALL(IF($M75:$O94&gt;0,ROW($M75:$O94)+(COLUMN($M75:$O94)-12)%),COLUMN(I$1)),1)/1%),"")</f>
        <v/>
      </c>
      <c r="R72" s="92" t="str">
        <f t="array" ref="R72">IFERROR(INDEX($M$1:$O94,SMALL(IF($M75:$O94&gt;0,ROW($M75:$O94)),COLUMN(J$1)),MOD(SMALL(IF($M75:$O94&gt;0,ROW($M75:$O94)+(COLUMN($M75:$O94)-12)%),COLUMN(J$1)),1)/1%),"")</f>
        <v/>
      </c>
      <c r="S72" s="92" t="str">
        <f t="array" ref="S72">IFERROR(INDEX($M$1:$O94,SMALL(IF($M75:$O94&gt;0,ROW($M75:$O94)),COLUMN(K$1)),MOD(SMALL(IF($M75:$O94&gt;0,ROW($M75:$O94)+(COLUMN($M75:$O94)-12)%),COLUMN(K$1)),1)/1%),"")</f>
        <v/>
      </c>
      <c r="T72" s="92" t="str">
        <f t="array" ref="T72">IFERROR(INDEX($M$1:$O94,SMALL(IF($M75:$O94&gt;0,ROW($M75:$O94)),COLUMN(L$1)),MOD(SMALL(IF($M75:$O94&gt;0,ROW($M75:$O94)+(COLUMN($M75:$O94)-12)%),COLUMN(L$1)),1)/1%),"")</f>
        <v/>
      </c>
      <c r="U72" s="92" t="str">
        <f t="array" ref="U72">IFERROR(INDEX($M$1:$O94,SMALL(IF($M75:$O94&gt;0,ROW($M75:$O94)),COLUMN(M$1)),MOD(SMALL(IF($M75:$O94&gt;0,ROW($M75:$O94)+(COLUMN($M75:$O94)-12)%),COLUMN(M$1)),1)/1%),"")</f>
        <v/>
      </c>
      <c r="V72" s="92" t="str">
        <f t="array" ref="V72">IFERROR(INDEX($M$1:$O94,SMALL(IF($M75:$O94&gt;0,ROW($M75:$O94)),COLUMN(N$1)),MOD(SMALL(IF($M75:$O94&gt;0,ROW($M75:$O94)+(COLUMN($M75:$O94)-12)%),COLUMN(N$1)),1)/1%),"")</f>
        <v/>
      </c>
      <c r="W72" s="92" t="str">
        <f t="array" ref="W72">IFERROR(INDEX($M$1:$O94,SMALL(IF($M75:$O94&gt;0,ROW($M75:$O94)),COLUMN(O$1)),MOD(SMALL(IF($M75:$O94&gt;0,ROW($M75:$O94)+(COLUMN($M75:$O94)-12)%),COLUMN(O$1)),1)/1%),"")</f>
        <v/>
      </c>
      <c r="X72" s="92" t="str">
        <f t="array" ref="X72">IFERROR(INDEX($M$1:$O94,SMALL(IF($M75:$O94&gt;0,ROW($M75:$O94)),COLUMN(P$1)),MOD(SMALL(IF($M75:$O94&gt;0,ROW($M75:$O94)+(COLUMN($M75:$O94)-12)%),COLUMN(P$1)),1)/1%),"")</f>
        <v/>
      </c>
      <c r="Y72" s="92" t="str">
        <f t="array" ref="Y72">IFERROR(INDEX($M$1:$O94,SMALL(IF($M75:$O94&gt;0,ROW($M75:$O94)),COLUMN(Q$1)),MOD(SMALL(IF($M75:$O94&gt;0,ROW($M75:$O94)+(COLUMN($M75:$O94)-12)%),COLUMN(Q$1)),1)/1%),"")</f>
        <v/>
      </c>
      <c r="Z72" s="92" t="str">
        <f t="array" ref="Z72">IFERROR(INDEX($M$1:$O94,SMALL(IF($M75:$O94&gt;0,ROW($M75:$O94)),COLUMN(R$1)),MOD(SMALL(IF($M75:$O94&gt;0,ROW($M75:$O94)+(COLUMN($M75:$O94)-12)%),COLUMN(R$1)),1)/1%),"")</f>
        <v/>
      </c>
      <c r="AA72" s="92" t="str">
        <f t="array" ref="AA72">IFERROR(INDEX($M$1:$O94,SMALL(IF($M75:$O94&gt;0,ROW($M75:$O94)),COLUMN(S$1)),MOD(SMALL(IF($M75:$O94&gt;0,ROW($M75:$O94)+(COLUMN($M75:$O94)-12)%),COLUMN(S$1)),1)/1%),"")</f>
        <v/>
      </c>
      <c r="AB72" s="92" t="str">
        <f t="array" ref="AB72">IFERROR(INDEX($M$1:$O94,SMALL(IF($M75:$O94&gt;0,ROW($M75:$O94)),COLUMN(T$1)),MOD(SMALL(IF($M75:$O94&gt;0,ROW($M75:$O94)+(COLUMN($M75:$O94)-12)%),COLUMN(T$1)),1)/1%),"")</f>
        <v/>
      </c>
      <c r="AC72" s="92" t="str">
        <f t="array" ref="AC72">IFERROR(INDEX($M$1:$O94,SMALL(IF($M75:$O94&gt;0,ROW($M75:$O94)),COLUMN(U$1)),MOD(SMALL(IF($M75:$O94&gt;0,ROW($M75:$O94)+(COLUMN($M75:$O94)-12)%),COLUMN(U$1)),1)/1%),"")</f>
        <v/>
      </c>
      <c r="AD72" s="92" t="str">
        <f t="array" ref="AD72">IFERROR(INDEX($M$1:$O94,SMALL(IF($M75:$O94&gt;0,ROW($M75:$O94)),COLUMN(V$1)),MOD(SMALL(IF($M75:$O94&gt;0,ROW($M75:$O94)+(COLUMN($M75:$O94)-12)%),COLUMN(V$1)),1)/1%),"")</f>
        <v/>
      </c>
      <c r="AE72" s="92" t="str">
        <f t="array" ref="AE72">IFERROR(INDEX($M$1:$O94,SMALL(IF($M75:$O94&gt;0,ROW($M75:$O94)),COLUMN(W$1)),MOD(SMALL(IF($M75:$O94&gt;0,ROW($M75:$O94)+(COLUMN($M75:$O94)-12)%),COLUMN(W$1)),1)/1%),"")</f>
        <v/>
      </c>
      <c r="AF72" s="92" t="str">
        <f t="array" ref="AF72">IFERROR(INDEX($M$1:$O94,SMALL(IF($M75:$O94&gt;0,ROW($M75:$O94)),COLUMN(X$1)),MOD(SMALL(IF($M75:$O94&gt;0,ROW($M75:$O94)+(COLUMN($M75:$O94)-12)%),COLUMN(X$1)),1)/1%),"")</f>
        <v/>
      </c>
      <c r="AG72" s="92" t="str">
        <f t="array" ref="AG72">IFERROR(INDEX($M$1:$O94,SMALL(IF($M75:$O94&gt;0,ROW($M75:$O94)),COLUMN(Y$1)),MOD(SMALL(IF($M75:$O94&gt;0,ROW($M75:$O94)+(COLUMN($M75:$O94)-12)%),COLUMN(Y$1)),1)/1%),"")</f>
        <v/>
      </c>
      <c r="AH72" s="92" t="str">
        <f t="array" ref="AH72">IFERROR(INDEX($M$1:$O94,SMALL(IF($M75:$O94&gt;0,ROW($M75:$O94)),COLUMN(Z$1)),MOD(SMALL(IF($M75:$O94&gt;0,ROW($M75:$O94)+(COLUMN($M75:$O94)-12)%),COLUMN(Z$1)),1)/1%),"")</f>
        <v/>
      </c>
      <c r="AI72" s="92" t="str">
        <f t="array" ref="AI72">IFERROR(INDEX($M$1:$O94,SMALL(IF($M75:$O94&gt;0,ROW($M75:$O94)),COLUMN(AA$1)),MOD(SMALL(IF($M75:$O94&gt;0,ROW($M75:$O94)+(COLUMN($M75:$O94)-12)%),COLUMN(AA$1)),1)/1%),"")</f>
        <v/>
      </c>
      <c r="AJ72" s="92" t="str">
        <f t="array" ref="AJ72">IFERROR(INDEX($M$1:$O94,SMALL(IF($M75:$O94&gt;0,ROW($M75:$O94)),COLUMN(AB$1)),MOD(SMALL(IF($M75:$O94&gt;0,ROW($M75:$O94)+(COLUMN($M75:$O94)-12)%),COLUMN(AB$1)),1)/1%),"")</f>
        <v/>
      </c>
      <c r="AK72" s="92" t="str">
        <f t="array" ref="AK72">IFERROR(INDEX($M$1:$O94,SMALL(IF($M75:$O94&gt;0,ROW($M75:$O94)),COLUMN(AC$1)),MOD(SMALL(IF($M75:$O94&gt;0,ROW($M75:$O94)+(COLUMN($M75:$O94)-12)%),COLUMN(AC$1)),1)/1%),"")</f>
        <v/>
      </c>
      <c r="AL72" s="92" t="str">
        <f t="array" ref="AL72">IFERROR(INDEX($M$1:$O94,SMALL(IF($M75:$O94&gt;0,ROW($M75:$O94)),COLUMN(AD$1)),MOD(SMALL(IF($M75:$O94&gt;0,ROW($M75:$O94)+(COLUMN($M75:$O94)-12)%),COLUMN(AD$1)),1)/1%),"")</f>
        <v/>
      </c>
      <c r="AM72" s="92" t="str">
        <f t="array" ref="AM72">IFERROR(INDEX($M$1:$O94,SMALL(IF($M75:$O94&gt;0,ROW($M75:$O94)),COLUMN(AE$1)),MOD(SMALL(IF($M75:$O94&gt;0,ROW($M75:$O94)+(COLUMN($M75:$O94)-12)%),COLUMN(AE$1)),1)/1%),"")</f>
        <v/>
      </c>
      <c r="AN72" s="92" t="str">
        <f t="array" ref="AN72">IFERROR(INDEX($M$1:$O94,SMALL(IF($M75:$O94&gt;0,ROW($M75:$O94)),COLUMN(AF$1)),MOD(SMALL(IF($M75:$O94&gt;0,ROW($M75:$O94)+(COLUMN($M75:$O94)-12)%),COLUMN(AF$1)),1)/1%),"")</f>
        <v/>
      </c>
      <c r="AO72" s="92" t="str">
        <f t="array" ref="AO72">IFERROR(INDEX($M$1:$O94,SMALL(IF($M75:$O94&gt;0,ROW($M75:$O94)),COLUMN(AG$1)),MOD(SMALL(IF($M75:$O94&gt;0,ROW($M75:$O94)+(COLUMN($M75:$O94)-12)%),COLUMN(AG$1)),1)/1%),"")</f>
        <v/>
      </c>
      <c r="AP72" s="92" t="str">
        <f t="array" ref="AP72">IFERROR(INDEX($M$1:$O94,SMALL(IF($M75:$O94&gt;0,ROW($M75:$O94)),COLUMN(AH$1)),MOD(SMALL(IF($M75:$O94&gt;0,ROW($M75:$O94)+(COLUMN($M75:$O94)-12)%),COLUMN(AH$1)),1)/1%),"")</f>
        <v/>
      </c>
      <c r="AQ72" s="92" t="str">
        <f t="array" ref="AQ72">IFERROR(INDEX($M$1:$O94,SMALL(IF($M75:$O94&gt;0,ROW($M75:$O94)),COLUMN(AI$1)),MOD(SMALL(IF($M75:$O94&gt;0,ROW($M75:$O94)+(COLUMN($M75:$O94)-12)%),COLUMN(AI$1)),1)/1%),"")</f>
        <v/>
      </c>
      <c r="AR72" s="92" t="str">
        <f t="array" ref="AR72">IFERROR(INDEX($M$1:$O94,SMALL(IF($M75:$O94&gt;0,ROW($M75:$O94)),COLUMN(AJ$1)),MOD(SMALL(IF($M75:$O94&gt;0,ROW($M75:$O94)+(COLUMN($M75:$O94)-12)%),COLUMN(AJ$1)),1)/1%),"")</f>
        <v/>
      </c>
      <c r="AS72" s="92" t="str">
        <f t="array" ref="AS72">IFERROR(INDEX($M$1:$O94,SMALL(IF($M75:$O94&gt;0,ROW($M75:$O94)),COLUMN(AK$1)),MOD(SMALL(IF($M75:$O94&gt;0,ROW($M75:$O94)+(COLUMN($M75:$O94)-12)%),COLUMN(AK$1)),1)/1%),"")</f>
        <v/>
      </c>
      <c r="AT72" s="92" t="str">
        <f t="array" ref="AT72">IFERROR(INDEX($M$1:$O94,SMALL(IF($M75:$O94&gt;0,ROW($M75:$O94)),COLUMN(AL$1)),MOD(SMALL(IF($M75:$O94&gt;0,ROW($M75:$O94)+(COLUMN($M75:$O94)-12)%),COLUMN(AL$1)),1)/1%),"")</f>
        <v/>
      </c>
      <c r="AU72" s="92" t="str">
        <f t="array" ref="AU72">IFERROR(INDEX($M$1:$O94,SMALL(IF($M75:$O94&gt;0,ROW($M75:$O94)),COLUMN(AM$1)),MOD(SMALL(IF($M75:$O94&gt;0,ROW($M75:$O94)+(COLUMN($M75:$O94)-12)%),COLUMN(AM$1)),1)/1%),"")</f>
        <v/>
      </c>
      <c r="AV72" s="92" t="str">
        <f t="array" ref="AV72">IFERROR(INDEX($M$1:$O94,SMALL(IF($M75:$O94&gt;0,ROW($M75:$O94)),COLUMN(AN$1)),MOD(SMALL(IF($M75:$O94&gt;0,ROW($M75:$O94)+(COLUMN($M75:$O94)-12)%),COLUMN(AN$1)),1)/1%),"")</f>
        <v/>
      </c>
      <c r="AW72" s="92"/>
      <c r="AX72" s="92"/>
      <c r="AY72" s="92"/>
      <c r="AZ72" s="92"/>
      <c r="BA72" s="92"/>
      <c r="BB72" s="92"/>
    </row>
    <row r="73" spans="1:68" s="41" customFormat="1" x14ac:dyDescent="0.3">
      <c r="A73" s="113"/>
      <c r="B73" s="114"/>
      <c r="C73" s="114"/>
      <c r="D73" s="114"/>
      <c r="E73" s="114"/>
      <c r="F73" s="115"/>
      <c r="G73" s="92"/>
      <c r="H73" s="92"/>
      <c r="I73" s="92" t="str">
        <f t="array" ref="I73">IFERROR(INDEX($I$1:$K94,SMALL(IF($I75:$K94&gt;0,ROW($I75:$K94)),COLUMN(A$1)),MOD(SMALL(IF($I75:$K94&gt;0,ROW($I75:$K94)+(COLUMN($I75:$K94)-8)%),COLUMN(A$1)),1)/1%),"")</f>
        <v/>
      </c>
      <c r="J73" s="92" t="str">
        <f t="array" ref="J73">IFERROR(INDEX($I$1:$K94,SMALL(IF($I75:$K94&gt;0,ROW($I75:$K94)),COLUMN(B$1)),MOD(SMALL(IF($I75:$K94&gt;0,ROW($I75:$K94)+(COLUMN($I75:$K94)-8)%),COLUMN(B$1)),1)/1%),"")</f>
        <v/>
      </c>
      <c r="K73" s="92" t="str">
        <f t="array" ref="K73">IFERROR(INDEX($I$1:$K94,SMALL(IF($I75:$K94&gt;0,ROW($I75:$K94)),COLUMN(C$1)),MOD(SMALL(IF($I75:$K94&gt;0,ROW($I75:$K94)+(COLUMN($I75:$K94)-8)%),COLUMN(C$1)),1)/1%),"")</f>
        <v/>
      </c>
      <c r="L73" s="92" t="str">
        <f t="array" ref="L73">IFERROR(INDEX($I$1:$K94,SMALL(IF($I75:$K94&gt;0,ROW($I75:$K94)),COLUMN(D$1)),MOD(SMALL(IF($I75:$K94&gt;0,ROW($I75:$K94)+(COLUMN($I75:$K94)-8)%),COLUMN(D$1)),1)/1%),"")</f>
        <v/>
      </c>
      <c r="M73" s="92" t="str">
        <f t="array" ref="M73">IFERROR(INDEX($I$1:$K94,SMALL(IF($I75:$K94&gt;0,ROW($I75:$K94)),COLUMN(E$1)),MOD(SMALL(IF($I75:$K94&gt;0,ROW($I75:$K94)+(COLUMN($I75:$K94)-8)%),COLUMN(E$1)),1)/1%),"")</f>
        <v/>
      </c>
      <c r="N73" s="92" t="str">
        <f t="array" ref="N73">IFERROR(INDEX($I$1:$K94,SMALL(IF($I75:$K94&gt;0,ROW($I75:$K94)),COLUMN(F$1)),MOD(SMALL(IF($I75:$K94&gt;0,ROW($I75:$K94)+(COLUMN($I75:$K94)-8)%),COLUMN(F$1)),1)/1%),"")</f>
        <v/>
      </c>
      <c r="O73" s="92" t="str">
        <f t="array" ref="O73">IFERROR(INDEX($I$1:$K94,SMALL(IF($I75:$K94&gt;0,ROW($I75:$K94)),COLUMN(G$1)),MOD(SMALL(IF($I75:$K94&gt;0,ROW($I75:$K94)+(COLUMN($I75:$K94)-8)%),COLUMN(G$1)),1)/1%),"")</f>
        <v/>
      </c>
      <c r="P73" s="92" t="str">
        <f t="array" ref="P73">IFERROR(INDEX($I$1:$K94,SMALL(IF($I75:$K94&gt;0,ROW($I75:$K94)),COLUMN(H$1)),MOD(SMALL(IF($I75:$K94&gt;0,ROW($I75:$K94)+(COLUMN($I75:$K94)-8)%),COLUMN(H$1)),1)/1%),"")</f>
        <v/>
      </c>
      <c r="Q73" s="92" t="str">
        <f t="array" ref="Q73">IFERROR(INDEX($I$1:$K94,SMALL(IF($I75:$K94&gt;0,ROW($I75:$K94)),COLUMN(I$1)),MOD(SMALL(IF($I75:$K94&gt;0,ROW($I75:$K94)+(COLUMN($I75:$K94)-8)%),COLUMN(I$1)),1)/1%),"")</f>
        <v/>
      </c>
      <c r="R73" s="92" t="str">
        <f t="array" ref="R73">IFERROR(INDEX($I$1:$K94,SMALL(IF($I75:$K94&gt;0,ROW($I75:$K94)),COLUMN(J$1)),MOD(SMALL(IF($I75:$K94&gt;0,ROW($I75:$K94)+(COLUMN($I75:$K94)-8)%),COLUMN(J$1)),1)/1%),"")</f>
        <v/>
      </c>
      <c r="S73" s="92" t="str">
        <f t="array" ref="S73">IFERROR(INDEX($I$1:$K94,SMALL(IF($I75:$K94&gt;0,ROW($I75:$K94)),COLUMN(K$1)),MOD(SMALL(IF($I75:$K94&gt;0,ROW($I75:$K94)+(COLUMN($I75:$K94)-8)%),COLUMN(K$1)),1)/1%),"")</f>
        <v/>
      </c>
      <c r="T73" s="92" t="str">
        <f t="array" ref="T73">IFERROR(INDEX($I$1:$K94,SMALL(IF($I75:$K94&gt;0,ROW($I75:$K94)),COLUMN(L$1)),MOD(SMALL(IF($I75:$K94&gt;0,ROW($I75:$K94)+(COLUMN($I75:$K94)-8)%),COLUMN(L$1)),1)/1%),"")</f>
        <v/>
      </c>
      <c r="U73" s="92" t="str">
        <f t="array" ref="U73">IFERROR(INDEX($I$1:$K94,SMALL(IF($I75:$K94&gt;0,ROW($I75:$K94)),COLUMN(M$1)),MOD(SMALL(IF($I75:$K94&gt;0,ROW($I75:$K94)+(COLUMN($I75:$K94)-8)%),COLUMN(M$1)),1)/1%),"")</f>
        <v/>
      </c>
      <c r="V73" s="92" t="str">
        <f t="array" ref="V73">IFERROR(INDEX($I$1:$K94,SMALL(IF($I75:$K94&gt;0,ROW($I75:$K94)),COLUMN(N$1)),MOD(SMALL(IF($I75:$K94&gt;0,ROW($I75:$K94)+(COLUMN($I75:$K94)-8)%),COLUMN(N$1)),1)/1%),"")</f>
        <v/>
      </c>
      <c r="W73" s="92" t="str">
        <f t="array" ref="W73">IFERROR(INDEX($I$1:$K94,SMALL(IF($I75:$K94&gt;0,ROW($I75:$K94)),COLUMN(O$1)),MOD(SMALL(IF($I75:$K94&gt;0,ROW($I75:$K94)+(COLUMN($I75:$K94)-8)%),COLUMN(O$1)),1)/1%),"")</f>
        <v/>
      </c>
      <c r="X73" s="92" t="str">
        <f t="array" ref="X73">IFERROR(INDEX($I$1:$K94,SMALL(IF($I75:$K94&gt;0,ROW($I75:$K94)),COLUMN(P$1)),MOD(SMALL(IF($I75:$K94&gt;0,ROW($I75:$K94)+(COLUMN($I75:$K94)-8)%),COLUMN(P$1)),1)/1%),"")</f>
        <v/>
      </c>
      <c r="Y73" s="92" t="str">
        <f t="array" ref="Y73">IFERROR(INDEX($I$1:$K94,SMALL(IF($I75:$K94&gt;0,ROW($I75:$K94)),COLUMN(Q$1)),MOD(SMALL(IF($I75:$K94&gt;0,ROW($I75:$K94)+(COLUMN($I75:$K94)-8)%),COLUMN(Q$1)),1)/1%),"")</f>
        <v/>
      </c>
      <c r="Z73" s="92" t="str">
        <f t="array" ref="Z73">IFERROR(INDEX($I$1:$K94,SMALL(IF($I75:$K94&gt;0,ROW($I75:$K94)),COLUMN(R$1)),MOD(SMALL(IF($I75:$K94&gt;0,ROW($I75:$K94)+(COLUMN($I75:$K94)-8)%),COLUMN(R$1)),1)/1%),"")</f>
        <v/>
      </c>
      <c r="AA73" s="92" t="str">
        <f t="array" ref="AA73">IFERROR(INDEX($I$1:$K94,SMALL(IF($I75:$K94&gt;0,ROW($I75:$K94)),COLUMN(S$1)),MOD(SMALL(IF($I75:$K94&gt;0,ROW($I75:$K94)+(COLUMN($I75:$K94)-8)%),COLUMN(S$1)),1)/1%),"")</f>
        <v/>
      </c>
      <c r="AB73" s="92" t="str">
        <f t="array" ref="AB73">IFERROR(INDEX($I$1:$K94,SMALL(IF($I75:$K94&gt;0,ROW($I75:$K94)),COLUMN(T$1)),MOD(SMALL(IF($I75:$K94&gt;0,ROW($I75:$K94)+(COLUMN($I75:$K94)-8)%),COLUMN(T$1)),1)/1%),"")</f>
        <v/>
      </c>
      <c r="AC73" s="92" t="str">
        <f t="array" ref="AC73">IFERROR(INDEX($I$1:$K94,SMALL(IF($I75:$K94&gt;0,ROW($I75:$K94)),COLUMN(U$1)),MOD(SMALL(IF($I75:$K94&gt;0,ROW($I75:$K94)+(COLUMN($I75:$K94)-8)%),COLUMN(U$1)),1)/1%),"")</f>
        <v/>
      </c>
      <c r="AD73" s="92" t="str">
        <f t="array" ref="AD73">IFERROR(INDEX($I$1:$K94,SMALL(IF($I75:$K94&gt;0,ROW($I75:$K94)),COLUMN(V$1)),MOD(SMALL(IF($I75:$K94&gt;0,ROW($I75:$K94)+(COLUMN($I75:$K94)-8)%),COLUMN(V$1)),1)/1%),"")</f>
        <v/>
      </c>
      <c r="AE73" s="92" t="str">
        <f t="array" ref="AE73">IFERROR(INDEX($I$1:$K94,SMALL(IF($I75:$K94&gt;0,ROW($I75:$K94)),COLUMN(W$1)),MOD(SMALL(IF($I75:$K94&gt;0,ROW($I75:$K94)+(COLUMN($I75:$K94)-8)%),COLUMN(W$1)),1)/1%),"")</f>
        <v/>
      </c>
      <c r="AF73" s="92" t="str">
        <f t="array" ref="AF73">IFERROR(INDEX($I$1:$K94,SMALL(IF($I75:$K94&gt;0,ROW($I75:$K94)),COLUMN(X$1)),MOD(SMALL(IF($I75:$K94&gt;0,ROW($I75:$K94)+(COLUMN($I75:$K94)-8)%),COLUMN(X$1)),1)/1%),"")</f>
        <v/>
      </c>
      <c r="AG73" s="92" t="str">
        <f t="array" ref="AG73">IFERROR(INDEX($I$1:$K94,SMALL(IF($I75:$K94&gt;0,ROW($I75:$K94)),COLUMN(Y$1)),MOD(SMALL(IF($I75:$K94&gt;0,ROW($I75:$K94)+(COLUMN($I75:$K94)-8)%),COLUMN(Y$1)),1)/1%),"")</f>
        <v/>
      </c>
      <c r="AH73" s="92" t="str">
        <f t="array" ref="AH73">IFERROR(INDEX($I$1:$K94,SMALL(IF($I75:$K94&gt;0,ROW($I75:$K94)),COLUMN(Z$1)),MOD(SMALL(IF($I75:$K94&gt;0,ROW($I75:$K94)+(COLUMN($I75:$K94)-8)%),COLUMN(Z$1)),1)/1%),"")</f>
        <v/>
      </c>
      <c r="AI73" s="92" t="str">
        <f t="array" ref="AI73">IFERROR(INDEX($I$1:$K94,SMALL(IF($I75:$K94&gt;0,ROW($I75:$K94)),COLUMN(AA$1)),MOD(SMALL(IF($I75:$K94&gt;0,ROW($I75:$K94)+(COLUMN($I75:$K94)-8)%),COLUMN(AA$1)),1)/1%),"")</f>
        <v/>
      </c>
      <c r="AJ73" s="92" t="str">
        <f t="array" ref="AJ73">IFERROR(INDEX($I$1:$K94,SMALL(IF($I75:$K94&gt;0,ROW($I75:$K94)),COLUMN(AB$1)),MOD(SMALL(IF($I75:$K94&gt;0,ROW($I75:$K94)+(COLUMN($I75:$K94)-8)%),COLUMN(AB$1)),1)/1%),"")</f>
        <v/>
      </c>
      <c r="AK73" s="92" t="str">
        <f t="array" ref="AK73">IFERROR(INDEX($I$1:$K94,SMALL(IF($I75:$K94&gt;0,ROW($I75:$K94)),COLUMN(AC$1)),MOD(SMALL(IF($I75:$K94&gt;0,ROW($I75:$K94)+(COLUMN($I75:$K94)-8)%),COLUMN(AC$1)),1)/1%),"")</f>
        <v/>
      </c>
      <c r="AL73" s="92" t="str">
        <f t="array" ref="AL73">IFERROR(INDEX($I$1:$K94,SMALL(IF($I75:$K94&gt;0,ROW($I75:$K94)),COLUMN(AD$1)),MOD(SMALL(IF($I75:$K94&gt;0,ROW($I75:$K94)+(COLUMN($I75:$K94)-8)%),COLUMN(AD$1)),1)/1%),"")</f>
        <v/>
      </c>
      <c r="AM73" s="92" t="str">
        <f t="array" ref="AM73">IFERROR(INDEX($I$1:$K94,SMALL(IF($I75:$K94&gt;0,ROW($I75:$K94)),COLUMN(AE$1)),MOD(SMALL(IF($I75:$K94&gt;0,ROW($I75:$K94)+(COLUMN($I75:$K94)-8)%),COLUMN(AE$1)),1)/1%),"")</f>
        <v/>
      </c>
      <c r="AN73" s="92" t="str">
        <f t="array" ref="AN73">IFERROR(INDEX($I$1:$K94,SMALL(IF($I75:$K94&gt;0,ROW($I75:$K94)),COLUMN(AF$1)),MOD(SMALL(IF($I75:$K94&gt;0,ROW($I75:$K94)+(COLUMN($I75:$K94)-8)%),COLUMN(AF$1)),1)/1%),"")</f>
        <v/>
      </c>
      <c r="AO73" s="92" t="str">
        <f t="array" ref="AO73">IFERROR(INDEX($I$1:$K94,SMALL(IF($I75:$K94&gt;0,ROW($I75:$K94)),COLUMN(AG$1)),MOD(SMALL(IF($I75:$K94&gt;0,ROW($I75:$K94)+(COLUMN($I75:$K94)-8)%),COLUMN(AG$1)),1)/1%),"")</f>
        <v/>
      </c>
      <c r="AP73" s="92" t="str">
        <f t="array" ref="AP73">IFERROR(INDEX($I$1:$K94,SMALL(IF($I75:$K94&gt;0,ROW($I75:$K94)),COLUMN(AH$1)),MOD(SMALL(IF($I75:$K94&gt;0,ROW($I75:$K94)+(COLUMN($I75:$K94)-8)%),COLUMN(AH$1)),1)/1%),"")</f>
        <v/>
      </c>
      <c r="AQ73" s="92" t="str">
        <f t="array" ref="AQ73">IFERROR(INDEX($I$1:$K94,SMALL(IF($I75:$K94&gt;0,ROW($I75:$K94)),COLUMN(AI$1)),MOD(SMALL(IF($I75:$K94&gt;0,ROW($I75:$K94)+(COLUMN($I75:$K94)-8)%),COLUMN(AI$1)),1)/1%),"")</f>
        <v/>
      </c>
      <c r="AR73" s="92" t="str">
        <f t="array" ref="AR73">IFERROR(INDEX($I$1:$K94,SMALL(IF($I75:$K94&gt;0,ROW($I75:$K94)),COLUMN(AJ$1)),MOD(SMALL(IF($I75:$K94&gt;0,ROW($I75:$K94)+(COLUMN($I75:$K94)-8)%),COLUMN(AJ$1)),1)/1%),"")</f>
        <v/>
      </c>
      <c r="AS73" s="92" t="str">
        <f t="array" ref="AS73">IFERROR(INDEX($I$1:$K94,SMALL(IF($I75:$K94&gt;0,ROW($I75:$K94)),COLUMN(AK$1)),MOD(SMALL(IF($I75:$K94&gt;0,ROW($I75:$K94)+(COLUMN($I75:$K94)-8)%),COLUMN(AK$1)),1)/1%),"")</f>
        <v/>
      </c>
      <c r="AT73" s="92" t="str">
        <f t="array" ref="AT73">IFERROR(INDEX($I$1:$K94,SMALL(IF($I75:$K94&gt;0,ROW($I75:$K94)),COLUMN(AL$1)),MOD(SMALL(IF($I75:$K94&gt;0,ROW($I75:$K94)+(COLUMN($I75:$K94)-8)%),COLUMN(AL$1)),1)/1%),"")</f>
        <v/>
      </c>
      <c r="AU73" s="92" t="str">
        <f t="array" ref="AU73">IFERROR(INDEX($I$1:$K94,SMALL(IF($I75:$K94&gt;0,ROW($I75:$K94)),COLUMN(AM$1)),MOD(SMALL(IF($I75:$K94&gt;0,ROW($I75:$K94)+(COLUMN($I75:$K94)-8)%),COLUMN(AM$1)),1)/1%),"")</f>
        <v/>
      </c>
      <c r="AV73" s="92" t="str">
        <f t="array" ref="AV73">IFERROR(INDEX($I$1:$K94,SMALL(IF($I75:$K94&gt;0,ROW($I75:$K94)),COLUMN(AN$1)),MOD(SMALL(IF($I75:$K94&gt;0,ROW($I75:$K94)+(COLUMN($I75:$K94)-8)%),COLUMN(AN$1)),1)/1%),"")</f>
        <v/>
      </c>
      <c r="AW73" s="92" t="str">
        <f t="array" ref="AW73">IFERROR(INDEX($I$3:$K$32,SMALL(IF($I$13:$K$32&gt;0,ROW($I$13:$K$32)),COLUMN(AO64)),MOD(SMALL(IF($I$13:$K$32&gt;0,ROW($I$13:$K$32)+(COLUMN($I$13:$K$32)-8)%),COLUMN(AO64)),1)/1%),"")</f>
        <v/>
      </c>
      <c r="AX73" s="92" t="str">
        <f t="array" ref="AX73">IFERROR(INDEX($I$3:$K$32,SMALL(IF($I$13:$K$32&gt;0,ROW($I$13:$K$32)),COLUMN(AP64)),MOD(SMALL(IF($I$13:$K$32&gt;0,ROW($I$13:$K$32)+(COLUMN($I$13:$K$32)-8)%),COLUMN(AP64)),1)/1%),"")</f>
        <v/>
      </c>
      <c r="AY73" s="92" t="str">
        <f t="array" ref="AY73">IFERROR(INDEX($I$3:$K$32,SMALL(IF($I$13:$K$32&gt;0,ROW($I$13:$K$32)),COLUMN(AQ64)),MOD(SMALL(IF($I$13:$K$32&gt;0,ROW($I$13:$K$32)+(COLUMN($I$13:$K$32)-8)%),COLUMN(AQ64)),1)/1%),"")</f>
        <v/>
      </c>
      <c r="AZ73" s="92" t="str">
        <f t="array" ref="AZ73">IFERROR(INDEX($I$3:$K$32,SMALL(IF($I$13:$K$32&gt;0,ROW($I$13:$K$32)),COLUMN(AR64)),MOD(SMALL(IF($I$13:$K$32&gt;0,ROW($I$13:$K$32)+(COLUMN($I$13:$K$32)-8)%),COLUMN(AR64)),1)/1%),"")</f>
        <v/>
      </c>
      <c r="BA73" s="92" t="str">
        <f t="array" ref="BA73">IFERROR(INDEX($I$3:$K$32,SMALL(IF($I$13:$K$32&gt;0,ROW($I$13:$K$32)),COLUMN(AS64)),MOD(SMALL(IF($I$13:$K$32&gt;0,ROW($I$13:$K$32)+(COLUMN($I$13:$K$32)-8)%),COLUMN(AS64)),1)/1%),"")</f>
        <v/>
      </c>
      <c r="BB73" s="92" t="str">
        <f t="array" ref="BB73">IFERROR(INDEX($I$3:$K$32,SMALL(IF($I$13:$K$32&gt;0,ROW($I$13:$K$32)),COLUMN(AT64)),MOD(SMALL(IF($I$13:$K$32&gt;0,ROW($I$13:$K$32)+(COLUMN($I$13:$K$32)-8)%),COLUMN(AT64)),1)/1%),"")</f>
        <v/>
      </c>
      <c r="BC73" s="41" t="str">
        <f t="array" ref="BC73">IFERROR(INDEX($I$3:$K$32,SMALL(IF($I$13:$K$32&gt;0,ROW($I$13:$K$32)),COLUMN(AU64)),MOD(SMALL(IF($I$13:$K$32&gt;0,ROW($I$13:$K$32)+(COLUMN($I$13:$K$32)-8)%),COLUMN(AU64)),1)/1%),"")</f>
        <v/>
      </c>
      <c r="BD73" s="41" t="str">
        <f t="array" ref="BD73">IFERROR(INDEX($I$3:$K$32,SMALL(IF($I$13:$K$32&gt;0,ROW($I$13:$K$32)),COLUMN(AV64)),MOD(SMALL(IF($I$13:$K$32&gt;0,ROW($I$13:$K$32)+(COLUMN($I$13:$K$32)-8)%),COLUMN(AV64)),1)/1%),"")</f>
        <v/>
      </c>
      <c r="BE73" s="41" t="str">
        <f t="array" ref="BE73">IFERROR(INDEX($I$3:$K$32,SMALL(IF($I$13:$K$32&gt;0,ROW($I$13:$K$32)),COLUMN(AW64)),MOD(SMALL(IF($I$13:$K$32&gt;0,ROW($I$13:$K$32)+(COLUMN($I$13:$K$32)-8)%),COLUMN(AW64)),1)/1%),"")</f>
        <v/>
      </c>
      <c r="BF73" s="41" t="str">
        <f t="array" ref="BF73">IFERROR(INDEX($I$3:$K$32,SMALL(IF($I$13:$K$32&gt;0,ROW($I$13:$K$32)),COLUMN(AX64)),MOD(SMALL(IF($I$13:$K$32&gt;0,ROW($I$13:$K$32)+(COLUMN($I$13:$K$32)-8)%),COLUMN(AX64)),1)/1%),"")</f>
        <v/>
      </c>
      <c r="BG73" s="41" t="str">
        <f t="array" ref="BG73">IFERROR(INDEX($I$3:$K$32,SMALL(IF($I$13:$K$32&gt;0,ROW($I$13:$K$32)),COLUMN(AY64)),MOD(SMALL(IF($I$13:$K$32&gt;0,ROW($I$13:$K$32)+(COLUMN($I$13:$K$32)-8)%),COLUMN(AY64)),1)/1%),"")</f>
        <v/>
      </c>
      <c r="BH73" s="41" t="str">
        <f t="array" ref="BH73">IFERROR(INDEX($I$3:$K$32,SMALL(IF($I$13:$K$32&gt;0,ROW($I$13:$K$32)),COLUMN(AZ64)),MOD(SMALL(IF($I$13:$K$32&gt;0,ROW($I$13:$K$32)+(COLUMN($I$13:$K$32)-8)%),COLUMN(AZ64)),1)/1%),"")</f>
        <v/>
      </c>
      <c r="BI73" s="41" t="str">
        <f t="array" ref="BI73">IFERROR(INDEX($I$3:$K$32,SMALL(IF($I$13:$K$32&gt;0,ROW($I$13:$K$32)),COLUMN(BA64)),MOD(SMALL(IF($I$13:$K$32&gt;0,ROW($I$13:$K$32)+(COLUMN($I$13:$K$32)-8)%),COLUMN(BA64)),1)/1%),"")</f>
        <v/>
      </c>
      <c r="BJ73" s="41" t="str">
        <f t="array" ref="BJ73">IFERROR(INDEX($I$3:$K$32,SMALL(IF($I$13:$K$32&gt;0,ROW($I$13:$K$32)),COLUMN(BB64)),MOD(SMALL(IF($I$13:$K$32&gt;0,ROW($I$13:$K$32)+(COLUMN($I$13:$K$32)-8)%),COLUMN(BB64)),1)/1%),"")</f>
        <v/>
      </c>
      <c r="BK73" s="41" t="str">
        <f t="array" ref="BK73">IFERROR(INDEX($I$3:$K$32,SMALL(IF($I$13:$K$32&gt;0,ROW($I$13:$K$32)),COLUMN(BC64)),MOD(SMALL(IF($I$13:$K$32&gt;0,ROW($I$13:$K$32)+(COLUMN($I$13:$K$32)-8)%),COLUMN(BC64)),1)/1%),"")</f>
        <v/>
      </c>
      <c r="BL73" s="41" t="str">
        <f t="array" ref="BL73">IFERROR(INDEX($I$3:$K$32,SMALL(IF($I$13:$K$32&gt;0,ROW($I$13:$K$32)),COLUMN(BD64)),MOD(SMALL(IF($I$13:$K$32&gt;0,ROW($I$13:$K$32)+(COLUMN($I$13:$K$32)-8)%),COLUMN(BD64)),1)/1%),"")</f>
        <v/>
      </c>
      <c r="BM73" s="41" t="str">
        <f t="array" ref="BM73">IFERROR(INDEX($I$3:$K$32,SMALL(IF($I$13:$K$32&gt;0,ROW($I$13:$K$32)),COLUMN(BE64)),MOD(SMALL(IF($I$13:$K$32&gt;0,ROW($I$13:$K$32)+(COLUMN($I$13:$K$32)-8)%),COLUMN(BE64)),1)/1%),"")</f>
        <v/>
      </c>
      <c r="BN73" s="41" t="str">
        <f t="array" ref="BN73">IFERROR(INDEX($I$3:$K$32,SMALL(IF($I$13:$K$32&gt;0,ROW($I$13:$K$32)),COLUMN(BF64)),MOD(SMALL(IF($I$13:$K$32&gt;0,ROW($I$13:$K$32)+(COLUMN($I$13:$K$32)-8)%),COLUMN(BF64)),1)/1%),"")</f>
        <v/>
      </c>
      <c r="BO73" s="41" t="str">
        <f t="array" ref="BO73">IFERROR(INDEX($I$3:$K$32,SMALL(IF($I$13:$K$32&gt;0,ROW($I$13:$K$32)),COLUMN(BG64)),MOD(SMALL(IF($I$13:$K$32&gt;0,ROW($I$13:$K$32)+(COLUMN($I$13:$K$32)-8)%),COLUMN(BG64)),1)/1%),"")</f>
        <v/>
      </c>
      <c r="BP73" s="41" t="str">
        <f t="array" ref="BP73">IFERROR(INDEX($I$3:$K$32,SMALL(IF($I$13:$K$32&gt;0,ROW($I$13:$K$32)),COLUMN(BH64)),MOD(SMALL(IF($I$13:$K$32&gt;0,ROW($I$13:$K$32)+(COLUMN($I$13:$K$32)-8)%),COLUMN(BH64)),1)/1%),"")</f>
        <v/>
      </c>
    </row>
    <row r="74" spans="1:68" s="41" customFormat="1" ht="45" customHeight="1" x14ac:dyDescent="0.3">
      <c r="A74" s="105" t="s">
        <v>59</v>
      </c>
      <c r="B74" s="106" t="s">
        <v>39</v>
      </c>
      <c r="C74" s="106" t="s">
        <v>57</v>
      </c>
      <c r="D74" s="106" t="s">
        <v>40</v>
      </c>
      <c r="E74" s="106" t="s">
        <v>42</v>
      </c>
      <c r="F74" s="107" t="s">
        <v>41</v>
      </c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>
        <f>IF(AND(MAX(Q75:Q94)&lt;=8,OR(D72+G95=15,D72+G95=16)),8,14)</f>
        <v>14</v>
      </c>
      <c r="R74" s="92"/>
      <c r="S74" s="92">
        <v>0</v>
      </c>
      <c r="T74" s="92">
        <v>0</v>
      </c>
      <c r="U74" s="92"/>
      <c r="V74" s="92"/>
      <c r="W74" s="92">
        <f t="array" ref="W74">IF(MIN(IF(R75:R94=1,$Q75:$Q94))&gt;T94,S94+1,S94)</f>
        <v>1</v>
      </c>
      <c r="X74" s="92">
        <f t="array" ref="X74">IF(MIN(IF(R75:R94=1,$Q75:$Q94))&gt;T94,Q74,T94)</f>
        <v>14</v>
      </c>
      <c r="Y74" s="92"/>
      <c r="Z74" s="92"/>
      <c r="AA74" s="92">
        <f t="array" ref="AA74">IF(MIN(IF(V75:V94=1,$Q75:$Q94))&gt;X94,W94+1,W94)</f>
        <v>1</v>
      </c>
      <c r="AB74" s="92">
        <f t="array" ref="AB74">IF(MIN(IF(V75:V94=1,$Q75:$Q94))&gt;X94,Q74,X94)</f>
        <v>14</v>
      </c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</row>
    <row r="75" spans="1:68" s="41" customFormat="1" x14ac:dyDescent="0.3">
      <c r="A75" s="108">
        <v>301</v>
      </c>
      <c r="B75" s="121"/>
      <c r="C75" s="121"/>
      <c r="D75" s="2"/>
      <c r="E75" s="2"/>
      <c r="F75" s="3"/>
      <c r="G75" s="109">
        <f>IF($C$3="Дротова",0,ROUNDUP(F75/2,0))</f>
        <v>0</v>
      </c>
      <c r="H75" s="92">
        <f>COUNTIF(B75:E75,"&gt;0")+COUNTIF(G75,"&gt;0")-SUMPRODUCT((B75&gt;0)*(C75&gt;0))-SUMPRODUCT((D75&gt;0)*(E75&gt;0))</f>
        <v>0</v>
      </c>
      <c r="I75" s="92">
        <f t="shared" ref="I75:I94" si="42">IF(H75&gt;0,A75,)</f>
        <v>0</v>
      </c>
      <c r="J75" s="92">
        <f t="shared" ref="J75:J94" si="43">IF(H75-1&gt;0,A75,)</f>
        <v>0</v>
      </c>
      <c r="K75" s="92">
        <f t="shared" ref="K75:K94" si="44">IF(H75-2&gt;0,A75,)</f>
        <v>0</v>
      </c>
      <c r="L75" s="92"/>
      <c r="M75" s="92">
        <f>IF(SUM(B75:E75)&gt;0,1,0)</f>
        <v>0</v>
      </c>
      <c r="N75" s="92">
        <f>IF(MAX(B75:C75)*MAX(D75:E75)&gt;0,2,0)</f>
        <v>0</v>
      </c>
      <c r="O75" s="92">
        <f>IF(G75&gt;0,3,0)</f>
        <v>0</v>
      </c>
      <c r="P75" s="92"/>
      <c r="Q75" s="92">
        <f>SUM(B75:E75,G75)</f>
        <v>0</v>
      </c>
      <c r="R75" s="92">
        <f t="shared" ref="R75:R94" si="45">IF(T75&lt;&gt;T74,0,IF(H75=0,0,1))</f>
        <v>0</v>
      </c>
      <c r="S75" s="92">
        <f>IF(T74=0,MAX(S$74:S74)+1,MAX(S$74:S74))</f>
        <v>1</v>
      </c>
      <c r="T75" s="92">
        <f>IF(T74=0,$Q$74-$Q75,IF(T74-$Q75&lt;0,T74,T74-$Q75))</f>
        <v>14</v>
      </c>
      <c r="U75" s="92"/>
      <c r="V75" s="92">
        <f t="shared" ref="V75:V94" si="46">IF(R75=0,0,IF(X75&lt;&gt;X74,0,IF(H75=0,0,1)))</f>
        <v>0</v>
      </c>
      <c r="W75" s="92">
        <f>IF(AND(X74=0,X75&lt;&gt;0),MAX(W$74:W74)+1,MAX(W$74:W74))</f>
        <v>1</v>
      </c>
      <c r="X75" s="92">
        <f>IF(R75=0,X74,IF(X74=0,$Q$74-$Q75,IF(X74-$Q75&lt;0,X74,X74-$Q75)))</f>
        <v>14</v>
      </c>
      <c r="Y75" s="92"/>
      <c r="Z75" s="92">
        <f t="shared" ref="Z75:Z90" si="47">IF(V75=0,0,IF(AB75&lt;&gt;AB74,0,IF(SUM(F75:I75)=0,0,1)))</f>
        <v>0</v>
      </c>
      <c r="AA75" s="92">
        <f>IF(AND(AB74=0,AB75&lt;&gt;0),MAX(AA$74:AA74)+1,MAX(AA$74:AA74))</f>
        <v>1</v>
      </c>
      <c r="AB75" s="92">
        <f>IF(V75=0,AB74,IF(AB74=0,$Q$74-$Q75,IF(AB74-$Q75&lt;0,AB74,AB74-$Q75)))</f>
        <v>14</v>
      </c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</row>
    <row r="76" spans="1:68" s="41" customFormat="1" x14ac:dyDescent="0.3">
      <c r="A76" s="108">
        <f>A75+1</f>
        <v>302</v>
      </c>
      <c r="B76" s="121"/>
      <c r="C76" s="121"/>
      <c r="D76" s="2"/>
      <c r="E76" s="2"/>
      <c r="F76" s="3"/>
      <c r="G76" s="109">
        <f t="shared" ref="G76:G94" si="48">IF($C$3="Дротова",0,ROUNDUP(F76/2,0))</f>
        <v>0</v>
      </c>
      <c r="H76" s="92">
        <f>COUNTIF(B76:E76,"&gt;0")+COUNTIF(G76,"&gt;0")-SUMPRODUCT((B76&gt;0)*(C76&gt;0))-SUMPRODUCT((D76&gt;0)*(E76&gt;0))</f>
        <v>0</v>
      </c>
      <c r="I76" s="92">
        <f t="shared" si="42"/>
        <v>0</v>
      </c>
      <c r="J76" s="92">
        <f t="shared" si="43"/>
        <v>0</v>
      </c>
      <c r="K76" s="92">
        <f t="shared" si="44"/>
        <v>0</v>
      </c>
      <c r="L76" s="92"/>
      <c r="M76" s="92">
        <f>IF(SUM(B76:E76)&gt;0,1,0)</f>
        <v>0</v>
      </c>
      <c r="N76" s="92">
        <f>IF(MAX(B76:C76)*MAX(D76:E76)&gt;0,2,0)</f>
        <v>0</v>
      </c>
      <c r="O76" s="92">
        <f t="shared" ref="O76:O94" si="49">IF(G76&gt;0,3,0)</f>
        <v>0</v>
      </c>
      <c r="P76" s="92"/>
      <c r="Q76" s="92">
        <f>SUM(B76:E76,G76)</f>
        <v>0</v>
      </c>
      <c r="R76" s="92">
        <f t="shared" si="45"/>
        <v>0</v>
      </c>
      <c r="S76" s="92">
        <f>IF(T75=0,MAX(S$74:S75)+1,MAX(S$74:S75))</f>
        <v>1</v>
      </c>
      <c r="T76" s="92">
        <f t="shared" ref="T76:T94" si="50">IF(T75=0,$Q$74-$Q76,IF(T75-$Q76&lt;0,T75,T75-$Q76))</f>
        <v>14</v>
      </c>
      <c r="U76" s="92"/>
      <c r="V76" s="92">
        <f t="shared" si="46"/>
        <v>0</v>
      </c>
      <c r="W76" s="92">
        <f>IF(AND(X75=0,X76&lt;&gt;0),MAX(W$74:W75)+1,MAX(W$74:W75))</f>
        <v>1</v>
      </c>
      <c r="X76" s="92">
        <f t="shared" ref="X76:X94" si="51">IF(R76=0,X75,IF(X75=0,$Q$74-$Q76,IF(X75-$Q76&lt;0,X75,X75-$Q76)))</f>
        <v>14</v>
      </c>
      <c r="Y76" s="92"/>
      <c r="Z76" s="92">
        <f t="shared" si="47"/>
        <v>0</v>
      </c>
      <c r="AA76" s="92">
        <f>IF(AND(AB75=0,AB76&lt;&gt;0),MAX(AA$74:AA75)+1,MAX(AA$74:AA75))</f>
        <v>1</v>
      </c>
      <c r="AB76" s="92">
        <f t="shared" ref="AB76:AB94" si="52">IF(V76=0,AB75,IF(AB75=0,$Q$74-$Q76,IF(AB75-$Q76&lt;0,AB75,AB75-$Q76)))</f>
        <v>14</v>
      </c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</row>
    <row r="77" spans="1:68" s="41" customFormat="1" ht="15" customHeight="1" x14ac:dyDescent="0.3">
      <c r="A77" s="108">
        <f t="shared" ref="A77:A94" si="53">A76+1</f>
        <v>303</v>
      </c>
      <c r="B77" s="121"/>
      <c r="C77" s="121"/>
      <c r="D77" s="2"/>
      <c r="E77" s="2"/>
      <c r="F77" s="3"/>
      <c r="G77" s="109">
        <f t="shared" si="48"/>
        <v>0</v>
      </c>
      <c r="H77" s="92">
        <f>COUNTIF(B77:E77,"&gt;0")+COUNTIF(G77,"&gt;0")-SUMPRODUCT((B77&gt;0)*(C77&gt;0))-SUMPRODUCT((D77&gt;0)*(E77&gt;0))</f>
        <v>0</v>
      </c>
      <c r="I77" s="92">
        <f t="shared" si="42"/>
        <v>0</v>
      </c>
      <c r="J77" s="92">
        <f t="shared" si="43"/>
        <v>0</v>
      </c>
      <c r="K77" s="92">
        <f t="shared" si="44"/>
        <v>0</v>
      </c>
      <c r="L77" s="92"/>
      <c r="M77" s="92">
        <f>IF(SUM(B77:E77)&gt;0,1,0)</f>
        <v>0</v>
      </c>
      <c r="N77" s="92">
        <f>IF(MAX(B77:C77)*MAX(D77:E77)&gt;0,2,0)</f>
        <v>0</v>
      </c>
      <c r="O77" s="92">
        <f t="shared" si="49"/>
        <v>0</v>
      </c>
      <c r="P77" s="92"/>
      <c r="Q77" s="92">
        <f>SUM(B77:E77,G77)</f>
        <v>0</v>
      </c>
      <c r="R77" s="92">
        <f t="shared" si="45"/>
        <v>0</v>
      </c>
      <c r="S77" s="92">
        <f>IF(T76=0,MAX(S$74:S76)+1,MAX(S$74:S76))</f>
        <v>1</v>
      </c>
      <c r="T77" s="92">
        <f t="shared" si="50"/>
        <v>14</v>
      </c>
      <c r="U77" s="92"/>
      <c r="V77" s="92">
        <f t="shared" si="46"/>
        <v>0</v>
      </c>
      <c r="W77" s="92">
        <f>IF(AND(X76=0,X77&lt;&gt;0),MAX(W$74:W76)+1,MAX(W$74:W76))</f>
        <v>1</v>
      </c>
      <c r="X77" s="92">
        <f t="shared" si="51"/>
        <v>14</v>
      </c>
      <c r="Y77" s="92"/>
      <c r="Z77" s="92">
        <f t="shared" si="47"/>
        <v>0</v>
      </c>
      <c r="AA77" s="92">
        <f>IF(AND(AB76=0,AB77&lt;&gt;0),MAX(AA$74:AA76)+1,MAX(AA$74:AA76))</f>
        <v>1</v>
      </c>
      <c r="AB77" s="92">
        <f t="shared" si="52"/>
        <v>14</v>
      </c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</row>
    <row r="78" spans="1:68" s="41" customFormat="1" x14ac:dyDescent="0.3">
      <c r="A78" s="108">
        <f t="shared" si="53"/>
        <v>304</v>
      </c>
      <c r="B78" s="121"/>
      <c r="C78" s="121"/>
      <c r="D78" s="2"/>
      <c r="E78" s="2"/>
      <c r="F78" s="3"/>
      <c r="G78" s="109">
        <f t="shared" si="48"/>
        <v>0</v>
      </c>
      <c r="H78" s="92">
        <f>COUNTIF(B78:E78,"&gt;0")+COUNTIF(G78,"&gt;0")-SUMPRODUCT((B78&gt;0)*(C78&gt;0))-SUMPRODUCT((D78&gt;0)*(E78&gt;0))</f>
        <v>0</v>
      </c>
      <c r="I78" s="92">
        <f t="shared" si="42"/>
        <v>0</v>
      </c>
      <c r="J78" s="92">
        <f t="shared" si="43"/>
        <v>0</v>
      </c>
      <c r="K78" s="92">
        <f t="shared" si="44"/>
        <v>0</v>
      </c>
      <c r="L78" s="92"/>
      <c r="M78" s="92">
        <f>IF(SUM(B78:E78)&gt;0,1,0)</f>
        <v>0</v>
      </c>
      <c r="N78" s="92">
        <f>IF(MAX(B78:C78)*MAX(D78:E78)&gt;0,2,0)</f>
        <v>0</v>
      </c>
      <c r="O78" s="92">
        <f t="shared" si="49"/>
        <v>0</v>
      </c>
      <c r="P78" s="92"/>
      <c r="Q78" s="92">
        <f>SUM(B78:E78,G78)</f>
        <v>0</v>
      </c>
      <c r="R78" s="92">
        <f t="shared" si="45"/>
        <v>0</v>
      </c>
      <c r="S78" s="92">
        <f>IF(T77=0,MAX(S$74:S77)+1,MAX(S$74:S77))</f>
        <v>1</v>
      </c>
      <c r="T78" s="92">
        <f t="shared" si="50"/>
        <v>14</v>
      </c>
      <c r="U78" s="92"/>
      <c r="V78" s="92">
        <f t="shared" si="46"/>
        <v>0</v>
      </c>
      <c r="W78" s="92">
        <f>IF(AND(X77=0,X78&lt;&gt;0),MAX(W$74:W77)+1,MAX(W$74:W77))</f>
        <v>1</v>
      </c>
      <c r="X78" s="92">
        <f t="shared" si="51"/>
        <v>14</v>
      </c>
      <c r="Y78" s="92"/>
      <c r="Z78" s="92">
        <f t="shared" si="47"/>
        <v>0</v>
      </c>
      <c r="AA78" s="92">
        <f>IF(AND(AB77=0,AB78&lt;&gt;0),MAX(AA$74:AA77)+1,MAX(AA$74:AA77))</f>
        <v>1</v>
      </c>
      <c r="AB78" s="92">
        <f t="shared" si="52"/>
        <v>14</v>
      </c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</row>
    <row r="79" spans="1:68" s="41" customFormat="1" x14ac:dyDescent="0.3">
      <c r="A79" s="108">
        <f t="shared" si="53"/>
        <v>305</v>
      </c>
      <c r="B79" s="121"/>
      <c r="C79" s="121"/>
      <c r="D79" s="2"/>
      <c r="E79" s="2"/>
      <c r="F79" s="3"/>
      <c r="G79" s="109">
        <f t="shared" si="48"/>
        <v>0</v>
      </c>
      <c r="H79" s="92">
        <f>COUNTIF(B79:E79,"&gt;0")+COUNTIF(G79,"&gt;0")-SUMPRODUCT((B79&gt;0)*(C79&gt;0))-SUMPRODUCT((D79&gt;0)*(E79&gt;0))</f>
        <v>0</v>
      </c>
      <c r="I79" s="92">
        <f t="shared" si="42"/>
        <v>0</v>
      </c>
      <c r="J79" s="92">
        <f t="shared" si="43"/>
        <v>0</v>
      </c>
      <c r="K79" s="92">
        <f t="shared" si="44"/>
        <v>0</v>
      </c>
      <c r="L79" s="92"/>
      <c r="M79" s="92">
        <f>IF(SUM(B79:E79)&gt;0,1,0)</f>
        <v>0</v>
      </c>
      <c r="N79" s="92">
        <f>IF(MAX(B79:C79)*MAX(D79:E79)&gt;0,2,0)</f>
        <v>0</v>
      </c>
      <c r="O79" s="92">
        <f t="shared" si="49"/>
        <v>0</v>
      </c>
      <c r="P79" s="92"/>
      <c r="Q79" s="92">
        <f>SUM(B79:E79,G79)</f>
        <v>0</v>
      </c>
      <c r="R79" s="92">
        <f t="shared" si="45"/>
        <v>0</v>
      </c>
      <c r="S79" s="92">
        <f>IF(T78=0,MAX(S$74:S78)+1,MAX(S$74:S78))</f>
        <v>1</v>
      </c>
      <c r="T79" s="92">
        <f t="shared" si="50"/>
        <v>14</v>
      </c>
      <c r="U79" s="92"/>
      <c r="V79" s="92">
        <f t="shared" si="46"/>
        <v>0</v>
      </c>
      <c r="W79" s="92">
        <f>IF(AND(X78=0,X79&lt;&gt;0),MAX(W$74:W78)+1,MAX(W$74:W78))</f>
        <v>1</v>
      </c>
      <c r="X79" s="92">
        <f t="shared" si="51"/>
        <v>14</v>
      </c>
      <c r="Y79" s="92"/>
      <c r="Z79" s="92">
        <f t="shared" si="47"/>
        <v>0</v>
      </c>
      <c r="AA79" s="92">
        <f>IF(AND(AB78=0,AB79&lt;&gt;0),MAX(AA$74:AA78)+1,MAX(AA$74:AA78))</f>
        <v>1</v>
      </c>
      <c r="AB79" s="92">
        <f t="shared" si="52"/>
        <v>14</v>
      </c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</row>
    <row r="80" spans="1:68" s="41" customFormat="1" x14ac:dyDescent="0.3">
      <c r="A80" s="108">
        <f t="shared" si="53"/>
        <v>306</v>
      </c>
      <c r="B80" s="121"/>
      <c r="C80" s="2"/>
      <c r="D80" s="2"/>
      <c r="E80" s="2"/>
      <c r="F80" s="3"/>
      <c r="G80" s="109">
        <f t="shared" si="48"/>
        <v>0</v>
      </c>
      <c r="H80" s="92">
        <f t="shared" ref="H80:H94" si="54">COUNTIF(B80:E80,"&gt;0")+COUNTIF(G80,"&gt;0")-SUMPRODUCT((B80&gt;0)*(C80&gt;0))-SUMPRODUCT((D80&gt;0)*(E80&gt;0))</f>
        <v>0</v>
      </c>
      <c r="I80" s="92">
        <f t="shared" si="42"/>
        <v>0</v>
      </c>
      <c r="J80" s="92">
        <f t="shared" si="43"/>
        <v>0</v>
      </c>
      <c r="K80" s="92">
        <f t="shared" si="44"/>
        <v>0</v>
      </c>
      <c r="L80" s="92"/>
      <c r="M80" s="92">
        <f t="shared" ref="M80:M94" si="55">IF(SUM(B80:E80)&gt;0,1,0)</f>
        <v>0</v>
      </c>
      <c r="N80" s="92">
        <f t="shared" ref="N80:N94" si="56">IF(MAX(B80:C80)*MAX(D80:E80)&gt;0,2,0)</f>
        <v>0</v>
      </c>
      <c r="O80" s="92">
        <f t="shared" si="49"/>
        <v>0</v>
      </c>
      <c r="P80" s="92"/>
      <c r="Q80" s="92">
        <f t="shared" ref="Q80:Q99" si="57">SUM(B80:E80,G80)</f>
        <v>0</v>
      </c>
      <c r="R80" s="92">
        <f t="shared" si="45"/>
        <v>0</v>
      </c>
      <c r="S80" s="92">
        <f>IF(T79=0,MAX(S$74:S79)+1,MAX(S$74:S79))</f>
        <v>1</v>
      </c>
      <c r="T80" s="92">
        <f t="shared" si="50"/>
        <v>14</v>
      </c>
      <c r="U80" s="92"/>
      <c r="V80" s="92">
        <f t="shared" si="46"/>
        <v>0</v>
      </c>
      <c r="W80" s="92">
        <f>IF(AND(X79=0,X80&lt;&gt;0),MAX(W$74:W79)+1,MAX(W$74:W79))</f>
        <v>1</v>
      </c>
      <c r="X80" s="92">
        <f t="shared" si="51"/>
        <v>14</v>
      </c>
      <c r="Y80" s="92"/>
      <c r="Z80" s="92">
        <f t="shared" si="47"/>
        <v>0</v>
      </c>
      <c r="AA80" s="92">
        <f>IF(AND(AB79=0,AB80&lt;&gt;0),MAX(AA$74:AA79)+1,MAX(AA$74:AA79))</f>
        <v>1</v>
      </c>
      <c r="AB80" s="92">
        <f t="shared" si="52"/>
        <v>14</v>
      </c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</row>
    <row r="81" spans="1:54" s="41" customFormat="1" x14ac:dyDescent="0.3">
      <c r="A81" s="108">
        <f t="shared" si="53"/>
        <v>307</v>
      </c>
      <c r="B81" s="121"/>
      <c r="C81" s="2"/>
      <c r="D81" s="2"/>
      <c r="E81" s="2"/>
      <c r="F81" s="3"/>
      <c r="G81" s="109">
        <f t="shared" si="48"/>
        <v>0</v>
      </c>
      <c r="H81" s="92">
        <f t="shared" si="54"/>
        <v>0</v>
      </c>
      <c r="I81" s="92">
        <f t="shared" si="42"/>
        <v>0</v>
      </c>
      <c r="J81" s="92">
        <f t="shared" si="43"/>
        <v>0</v>
      </c>
      <c r="K81" s="92">
        <f t="shared" si="44"/>
        <v>0</v>
      </c>
      <c r="L81" s="92"/>
      <c r="M81" s="92">
        <f t="shared" si="55"/>
        <v>0</v>
      </c>
      <c r="N81" s="92">
        <f t="shared" si="56"/>
        <v>0</v>
      </c>
      <c r="O81" s="92">
        <f t="shared" si="49"/>
        <v>0</v>
      </c>
      <c r="P81" s="92"/>
      <c r="Q81" s="92">
        <f t="shared" si="57"/>
        <v>0</v>
      </c>
      <c r="R81" s="92">
        <f t="shared" si="45"/>
        <v>0</v>
      </c>
      <c r="S81" s="92">
        <f>IF(T80=0,MAX(S$74:S80)+1,MAX(S$74:S80))</f>
        <v>1</v>
      </c>
      <c r="T81" s="92">
        <f t="shared" si="50"/>
        <v>14</v>
      </c>
      <c r="U81" s="92"/>
      <c r="V81" s="92">
        <f t="shared" si="46"/>
        <v>0</v>
      </c>
      <c r="W81" s="92">
        <f>IF(AND(X80=0,X81&lt;&gt;0),MAX(W$74:W80)+1,MAX(W$74:W80))</f>
        <v>1</v>
      </c>
      <c r="X81" s="92">
        <f t="shared" si="51"/>
        <v>14</v>
      </c>
      <c r="Y81" s="92"/>
      <c r="Z81" s="92">
        <f t="shared" si="47"/>
        <v>0</v>
      </c>
      <c r="AA81" s="92">
        <f>IF(AND(AB80=0,AB81&lt;&gt;0),MAX(AA$74:AA80)+1,MAX(AA$74:AA80))</f>
        <v>1</v>
      </c>
      <c r="AB81" s="92">
        <f t="shared" si="52"/>
        <v>14</v>
      </c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</row>
    <row r="82" spans="1:54" s="41" customFormat="1" x14ac:dyDescent="0.3">
      <c r="A82" s="108">
        <f t="shared" si="53"/>
        <v>308</v>
      </c>
      <c r="B82" s="121"/>
      <c r="C82" s="2"/>
      <c r="D82" s="2"/>
      <c r="E82" s="2"/>
      <c r="F82" s="3"/>
      <c r="G82" s="109">
        <f t="shared" si="48"/>
        <v>0</v>
      </c>
      <c r="H82" s="92">
        <f t="shared" si="54"/>
        <v>0</v>
      </c>
      <c r="I82" s="92">
        <f t="shared" si="42"/>
        <v>0</v>
      </c>
      <c r="J82" s="92">
        <f t="shared" si="43"/>
        <v>0</v>
      </c>
      <c r="K82" s="92">
        <f t="shared" si="44"/>
        <v>0</v>
      </c>
      <c r="L82" s="92"/>
      <c r="M82" s="92">
        <f t="shared" si="55"/>
        <v>0</v>
      </c>
      <c r="N82" s="92">
        <f t="shared" si="56"/>
        <v>0</v>
      </c>
      <c r="O82" s="92">
        <f t="shared" si="49"/>
        <v>0</v>
      </c>
      <c r="P82" s="92"/>
      <c r="Q82" s="92">
        <f t="shared" si="57"/>
        <v>0</v>
      </c>
      <c r="R82" s="92">
        <f t="shared" si="45"/>
        <v>0</v>
      </c>
      <c r="S82" s="92">
        <f>IF(T81=0,MAX(S$74:S81)+1,MAX(S$74:S81))</f>
        <v>1</v>
      </c>
      <c r="T82" s="92">
        <f t="shared" si="50"/>
        <v>14</v>
      </c>
      <c r="U82" s="92"/>
      <c r="V82" s="92">
        <f t="shared" si="46"/>
        <v>0</v>
      </c>
      <c r="W82" s="92">
        <f>IF(AND(X81=0,X82&lt;&gt;0),MAX(W$74:W81)+1,MAX(W$74:W81))</f>
        <v>1</v>
      </c>
      <c r="X82" s="92">
        <f t="shared" si="51"/>
        <v>14</v>
      </c>
      <c r="Y82" s="92"/>
      <c r="Z82" s="92">
        <f t="shared" si="47"/>
        <v>0</v>
      </c>
      <c r="AA82" s="92">
        <f>IF(AND(AB81=0,AB82&lt;&gt;0),MAX(AA$74:AA81)+1,MAX(AA$74:AA81))</f>
        <v>1</v>
      </c>
      <c r="AB82" s="92">
        <f t="shared" si="52"/>
        <v>14</v>
      </c>
      <c r="AC82" s="92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</row>
    <row r="83" spans="1:54" s="41" customFormat="1" x14ac:dyDescent="0.3">
      <c r="A83" s="108">
        <f t="shared" si="53"/>
        <v>309</v>
      </c>
      <c r="B83" s="121"/>
      <c r="C83" s="2"/>
      <c r="D83" s="2"/>
      <c r="E83" s="2"/>
      <c r="F83" s="3"/>
      <c r="G83" s="109">
        <f t="shared" si="48"/>
        <v>0</v>
      </c>
      <c r="H83" s="92">
        <f t="shared" si="54"/>
        <v>0</v>
      </c>
      <c r="I83" s="92">
        <f t="shared" si="42"/>
        <v>0</v>
      </c>
      <c r="J83" s="92">
        <f t="shared" si="43"/>
        <v>0</v>
      </c>
      <c r="K83" s="92">
        <f t="shared" si="44"/>
        <v>0</v>
      </c>
      <c r="L83" s="92"/>
      <c r="M83" s="92">
        <f t="shared" si="55"/>
        <v>0</v>
      </c>
      <c r="N83" s="92">
        <f t="shared" si="56"/>
        <v>0</v>
      </c>
      <c r="O83" s="92">
        <f t="shared" si="49"/>
        <v>0</v>
      </c>
      <c r="P83" s="92"/>
      <c r="Q83" s="92">
        <f t="shared" si="57"/>
        <v>0</v>
      </c>
      <c r="R83" s="92">
        <f t="shared" si="45"/>
        <v>0</v>
      </c>
      <c r="S83" s="92">
        <f>IF(T82=0,MAX(S$74:S82)+1,MAX(S$74:S82))</f>
        <v>1</v>
      </c>
      <c r="T83" s="92">
        <f t="shared" si="50"/>
        <v>14</v>
      </c>
      <c r="U83" s="92"/>
      <c r="V83" s="92">
        <f t="shared" si="46"/>
        <v>0</v>
      </c>
      <c r="W83" s="92">
        <f>IF(AND(X82=0,X83&lt;&gt;0),MAX(W$74:W82)+1,MAX(W$74:W82))</f>
        <v>1</v>
      </c>
      <c r="X83" s="92">
        <f t="shared" si="51"/>
        <v>14</v>
      </c>
      <c r="Y83" s="92"/>
      <c r="Z83" s="92">
        <f t="shared" si="47"/>
        <v>0</v>
      </c>
      <c r="AA83" s="92">
        <f>IF(AND(AB82=0,AB83&lt;&gt;0),MAX(AA$74:AA82)+1,MAX(AA$74:AA82))</f>
        <v>1</v>
      </c>
      <c r="AB83" s="92">
        <f t="shared" si="52"/>
        <v>14</v>
      </c>
      <c r="AC83" s="92"/>
      <c r="AD83" s="92"/>
      <c r="AE83" s="92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</row>
    <row r="84" spans="1:54" s="41" customFormat="1" x14ac:dyDescent="0.3">
      <c r="A84" s="108">
        <f t="shared" si="53"/>
        <v>310</v>
      </c>
      <c r="B84" s="2"/>
      <c r="C84" s="2"/>
      <c r="D84" s="2"/>
      <c r="E84" s="2"/>
      <c r="F84" s="3"/>
      <c r="G84" s="109">
        <f t="shared" si="48"/>
        <v>0</v>
      </c>
      <c r="H84" s="92">
        <f t="shared" si="54"/>
        <v>0</v>
      </c>
      <c r="I84" s="92">
        <f t="shared" si="42"/>
        <v>0</v>
      </c>
      <c r="J84" s="92">
        <f t="shared" si="43"/>
        <v>0</v>
      </c>
      <c r="K84" s="92">
        <f t="shared" si="44"/>
        <v>0</v>
      </c>
      <c r="L84" s="92"/>
      <c r="M84" s="92">
        <f t="shared" si="55"/>
        <v>0</v>
      </c>
      <c r="N84" s="92">
        <f t="shared" si="56"/>
        <v>0</v>
      </c>
      <c r="O84" s="92">
        <f t="shared" si="49"/>
        <v>0</v>
      </c>
      <c r="P84" s="92"/>
      <c r="Q84" s="92">
        <f t="shared" si="57"/>
        <v>0</v>
      </c>
      <c r="R84" s="92">
        <f t="shared" si="45"/>
        <v>0</v>
      </c>
      <c r="S84" s="92">
        <f>IF(T83=0,MAX(S$74:S83)+1,MAX(S$74:S83))</f>
        <v>1</v>
      </c>
      <c r="T84" s="92">
        <f t="shared" si="50"/>
        <v>14</v>
      </c>
      <c r="U84" s="92"/>
      <c r="V84" s="92">
        <f t="shared" si="46"/>
        <v>0</v>
      </c>
      <c r="W84" s="92">
        <f>IF(AND(X83=0,X84&lt;&gt;0),MAX(W$74:W83)+1,MAX(W$74:W83))</f>
        <v>1</v>
      </c>
      <c r="X84" s="92">
        <f t="shared" si="51"/>
        <v>14</v>
      </c>
      <c r="Y84" s="92"/>
      <c r="Z84" s="92">
        <f t="shared" si="47"/>
        <v>0</v>
      </c>
      <c r="AA84" s="92">
        <f>IF(AND(AB83=0,AB84&lt;&gt;0),MAX(AA$74:AA83)+1,MAX(AA$74:AA83))</f>
        <v>1</v>
      </c>
      <c r="AB84" s="92">
        <f t="shared" si="52"/>
        <v>14</v>
      </c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</row>
    <row r="85" spans="1:54" s="41" customFormat="1" x14ac:dyDescent="0.3">
      <c r="A85" s="108">
        <f t="shared" si="53"/>
        <v>311</v>
      </c>
      <c r="B85" s="2"/>
      <c r="C85" s="2"/>
      <c r="D85" s="2"/>
      <c r="E85" s="2"/>
      <c r="F85" s="3"/>
      <c r="G85" s="109">
        <f t="shared" si="48"/>
        <v>0</v>
      </c>
      <c r="H85" s="92">
        <f t="shared" si="54"/>
        <v>0</v>
      </c>
      <c r="I85" s="92">
        <f t="shared" si="42"/>
        <v>0</v>
      </c>
      <c r="J85" s="92">
        <f t="shared" si="43"/>
        <v>0</v>
      </c>
      <c r="K85" s="92">
        <f t="shared" si="44"/>
        <v>0</v>
      </c>
      <c r="L85" s="92"/>
      <c r="M85" s="92">
        <f t="shared" si="55"/>
        <v>0</v>
      </c>
      <c r="N85" s="92">
        <f t="shared" si="56"/>
        <v>0</v>
      </c>
      <c r="O85" s="92">
        <f t="shared" si="49"/>
        <v>0</v>
      </c>
      <c r="P85" s="92"/>
      <c r="Q85" s="92">
        <f t="shared" si="57"/>
        <v>0</v>
      </c>
      <c r="R85" s="92">
        <f t="shared" si="45"/>
        <v>0</v>
      </c>
      <c r="S85" s="92">
        <f>IF(T84=0,MAX(S$74:S84)+1,MAX(S$74:S84))</f>
        <v>1</v>
      </c>
      <c r="T85" s="92">
        <f t="shared" si="50"/>
        <v>14</v>
      </c>
      <c r="U85" s="92"/>
      <c r="V85" s="92">
        <f t="shared" si="46"/>
        <v>0</v>
      </c>
      <c r="W85" s="92">
        <f>IF(AND(X84=0,X85&lt;&gt;0),MAX(W$74:W84)+1,MAX(W$74:W84))</f>
        <v>1</v>
      </c>
      <c r="X85" s="92">
        <f t="shared" si="51"/>
        <v>14</v>
      </c>
      <c r="Y85" s="92"/>
      <c r="Z85" s="92">
        <f t="shared" si="47"/>
        <v>0</v>
      </c>
      <c r="AA85" s="92">
        <f>IF(AND(AB84=0,AB85&lt;&gt;0),MAX(AA$74:AA84)+1,MAX(AA$74:AA84))</f>
        <v>1</v>
      </c>
      <c r="AB85" s="92">
        <f t="shared" si="52"/>
        <v>14</v>
      </c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</row>
    <row r="86" spans="1:54" s="41" customFormat="1" x14ac:dyDescent="0.3">
      <c r="A86" s="108">
        <f t="shared" si="53"/>
        <v>312</v>
      </c>
      <c r="B86" s="2"/>
      <c r="C86" s="2"/>
      <c r="D86" s="2"/>
      <c r="E86" s="2"/>
      <c r="F86" s="3"/>
      <c r="G86" s="109">
        <f t="shared" si="48"/>
        <v>0</v>
      </c>
      <c r="H86" s="92">
        <f t="shared" si="54"/>
        <v>0</v>
      </c>
      <c r="I86" s="92">
        <f t="shared" si="42"/>
        <v>0</v>
      </c>
      <c r="J86" s="92">
        <f t="shared" si="43"/>
        <v>0</v>
      </c>
      <c r="K86" s="92">
        <f t="shared" si="44"/>
        <v>0</v>
      </c>
      <c r="L86" s="92"/>
      <c r="M86" s="92">
        <f t="shared" si="55"/>
        <v>0</v>
      </c>
      <c r="N86" s="92">
        <f t="shared" si="56"/>
        <v>0</v>
      </c>
      <c r="O86" s="92">
        <f t="shared" si="49"/>
        <v>0</v>
      </c>
      <c r="P86" s="92"/>
      <c r="Q86" s="92">
        <f t="shared" si="57"/>
        <v>0</v>
      </c>
      <c r="R86" s="92">
        <f t="shared" si="45"/>
        <v>0</v>
      </c>
      <c r="S86" s="92">
        <f>IF(T85=0,MAX(S$74:S85)+1,MAX(S$74:S85))</f>
        <v>1</v>
      </c>
      <c r="T86" s="92">
        <f t="shared" si="50"/>
        <v>14</v>
      </c>
      <c r="U86" s="92"/>
      <c r="V86" s="92">
        <f t="shared" si="46"/>
        <v>0</v>
      </c>
      <c r="W86" s="92">
        <f>IF(AND(X85=0,X86&lt;&gt;0),MAX(W$74:W85)+1,MAX(W$74:W85))</f>
        <v>1</v>
      </c>
      <c r="X86" s="92">
        <f t="shared" si="51"/>
        <v>14</v>
      </c>
      <c r="Y86" s="92"/>
      <c r="Z86" s="92">
        <f t="shared" si="47"/>
        <v>0</v>
      </c>
      <c r="AA86" s="92">
        <f>IF(AND(AB85=0,AB86&lt;&gt;0),MAX(AA$74:AA85)+1,MAX(AA$74:AA85))</f>
        <v>1</v>
      </c>
      <c r="AB86" s="92">
        <f t="shared" si="52"/>
        <v>14</v>
      </c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</row>
    <row r="87" spans="1:54" s="41" customFormat="1" x14ac:dyDescent="0.3">
      <c r="A87" s="108">
        <f t="shared" si="53"/>
        <v>313</v>
      </c>
      <c r="B87" s="2"/>
      <c r="C87" s="2"/>
      <c r="D87" s="2"/>
      <c r="E87" s="2"/>
      <c r="F87" s="3"/>
      <c r="G87" s="109">
        <f t="shared" si="48"/>
        <v>0</v>
      </c>
      <c r="H87" s="92">
        <f t="shared" si="54"/>
        <v>0</v>
      </c>
      <c r="I87" s="92">
        <f t="shared" si="42"/>
        <v>0</v>
      </c>
      <c r="J87" s="92">
        <f t="shared" si="43"/>
        <v>0</v>
      </c>
      <c r="K87" s="92">
        <f t="shared" si="44"/>
        <v>0</v>
      </c>
      <c r="L87" s="92"/>
      <c r="M87" s="92">
        <f t="shared" si="55"/>
        <v>0</v>
      </c>
      <c r="N87" s="92">
        <f t="shared" si="56"/>
        <v>0</v>
      </c>
      <c r="O87" s="92">
        <f t="shared" si="49"/>
        <v>0</v>
      </c>
      <c r="P87" s="92"/>
      <c r="Q87" s="92">
        <f t="shared" si="57"/>
        <v>0</v>
      </c>
      <c r="R87" s="92">
        <f t="shared" si="45"/>
        <v>0</v>
      </c>
      <c r="S87" s="92">
        <f>IF(T86=0,MAX(S$74:S86)+1,MAX(S$74:S86))</f>
        <v>1</v>
      </c>
      <c r="T87" s="92">
        <f t="shared" si="50"/>
        <v>14</v>
      </c>
      <c r="U87" s="92"/>
      <c r="V87" s="92">
        <f t="shared" si="46"/>
        <v>0</v>
      </c>
      <c r="W87" s="92">
        <f>IF(AND(X86=0,X87&lt;&gt;0),MAX(W$74:W86)+1,MAX(W$74:W86))</f>
        <v>1</v>
      </c>
      <c r="X87" s="92">
        <f t="shared" si="51"/>
        <v>14</v>
      </c>
      <c r="Y87" s="92"/>
      <c r="Z87" s="92">
        <f t="shared" si="47"/>
        <v>0</v>
      </c>
      <c r="AA87" s="92">
        <f>IF(AND(AB86=0,AB87&lt;&gt;0),MAX(AA$74:AA86)+1,MAX(AA$74:AA86))</f>
        <v>1</v>
      </c>
      <c r="AB87" s="92">
        <f t="shared" si="52"/>
        <v>14</v>
      </c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</row>
    <row r="88" spans="1:54" s="41" customFormat="1" x14ac:dyDescent="0.3">
      <c r="A88" s="108">
        <f t="shared" si="53"/>
        <v>314</v>
      </c>
      <c r="B88" s="2"/>
      <c r="C88" s="2"/>
      <c r="D88" s="2"/>
      <c r="E88" s="2"/>
      <c r="F88" s="3"/>
      <c r="G88" s="109">
        <f t="shared" si="48"/>
        <v>0</v>
      </c>
      <c r="H88" s="92">
        <f t="shared" si="54"/>
        <v>0</v>
      </c>
      <c r="I88" s="92">
        <f t="shared" si="42"/>
        <v>0</v>
      </c>
      <c r="J88" s="92">
        <f t="shared" si="43"/>
        <v>0</v>
      </c>
      <c r="K88" s="92">
        <f t="shared" si="44"/>
        <v>0</v>
      </c>
      <c r="L88" s="92"/>
      <c r="M88" s="92">
        <f t="shared" si="55"/>
        <v>0</v>
      </c>
      <c r="N88" s="92">
        <f t="shared" si="56"/>
        <v>0</v>
      </c>
      <c r="O88" s="92">
        <f t="shared" si="49"/>
        <v>0</v>
      </c>
      <c r="P88" s="92"/>
      <c r="Q88" s="92">
        <f t="shared" si="57"/>
        <v>0</v>
      </c>
      <c r="R88" s="92">
        <f t="shared" si="45"/>
        <v>0</v>
      </c>
      <c r="S88" s="92">
        <f>IF(T87=0,MAX(S$74:S87)+1,MAX(S$74:S87))</f>
        <v>1</v>
      </c>
      <c r="T88" s="92">
        <f t="shared" si="50"/>
        <v>14</v>
      </c>
      <c r="U88" s="92"/>
      <c r="V88" s="92">
        <f t="shared" si="46"/>
        <v>0</v>
      </c>
      <c r="W88" s="92">
        <f>IF(AND(X87=0,X88&lt;&gt;0),MAX(W$74:W87)+1,MAX(W$74:W87))</f>
        <v>1</v>
      </c>
      <c r="X88" s="92">
        <f t="shared" si="51"/>
        <v>14</v>
      </c>
      <c r="Y88" s="92"/>
      <c r="Z88" s="92">
        <f t="shared" si="47"/>
        <v>0</v>
      </c>
      <c r="AA88" s="92">
        <f>IF(AND(AB87=0,AB88&lt;&gt;0),MAX(AA$74:AA87)+1,MAX(AA$74:AA87))</f>
        <v>1</v>
      </c>
      <c r="AB88" s="92">
        <f t="shared" si="52"/>
        <v>14</v>
      </c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</row>
    <row r="89" spans="1:54" s="41" customFormat="1" x14ac:dyDescent="0.3">
      <c r="A89" s="108">
        <f t="shared" si="53"/>
        <v>315</v>
      </c>
      <c r="B89" s="2"/>
      <c r="C89" s="2"/>
      <c r="D89" s="2"/>
      <c r="E89" s="2"/>
      <c r="F89" s="3"/>
      <c r="G89" s="109">
        <f t="shared" si="48"/>
        <v>0</v>
      </c>
      <c r="H89" s="92">
        <f t="shared" si="54"/>
        <v>0</v>
      </c>
      <c r="I89" s="92">
        <f t="shared" si="42"/>
        <v>0</v>
      </c>
      <c r="J89" s="92">
        <f t="shared" si="43"/>
        <v>0</v>
      </c>
      <c r="K89" s="92">
        <f t="shared" si="44"/>
        <v>0</v>
      </c>
      <c r="L89" s="92"/>
      <c r="M89" s="92">
        <f t="shared" si="55"/>
        <v>0</v>
      </c>
      <c r="N89" s="92">
        <f t="shared" si="56"/>
        <v>0</v>
      </c>
      <c r="O89" s="92">
        <f t="shared" si="49"/>
        <v>0</v>
      </c>
      <c r="P89" s="92"/>
      <c r="Q89" s="92">
        <f t="shared" si="57"/>
        <v>0</v>
      </c>
      <c r="R89" s="92">
        <f t="shared" si="45"/>
        <v>0</v>
      </c>
      <c r="S89" s="92">
        <f>IF(T88=0,MAX(S$74:S88)+1,MAX(S$74:S88))</f>
        <v>1</v>
      </c>
      <c r="T89" s="92">
        <f t="shared" si="50"/>
        <v>14</v>
      </c>
      <c r="U89" s="92"/>
      <c r="V89" s="92">
        <f t="shared" si="46"/>
        <v>0</v>
      </c>
      <c r="W89" s="92">
        <f>IF(AND(X88=0,X89&lt;&gt;0),MAX(W$74:W88)+1,MAX(W$74:W88))</f>
        <v>1</v>
      </c>
      <c r="X89" s="92">
        <f t="shared" si="51"/>
        <v>14</v>
      </c>
      <c r="Y89" s="92"/>
      <c r="Z89" s="92">
        <f t="shared" si="47"/>
        <v>0</v>
      </c>
      <c r="AA89" s="92">
        <f>IF(AND(AB88=0,AB89&lt;&gt;0),MAX(AA$74:AA88)+1,MAX(AA$74:AA88))</f>
        <v>1</v>
      </c>
      <c r="AB89" s="92">
        <f t="shared" si="52"/>
        <v>14</v>
      </c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</row>
    <row r="90" spans="1:54" s="41" customFormat="1" x14ac:dyDescent="0.3">
      <c r="A90" s="108">
        <f t="shared" si="53"/>
        <v>316</v>
      </c>
      <c r="B90" s="2"/>
      <c r="C90" s="2"/>
      <c r="D90" s="2"/>
      <c r="E90" s="2"/>
      <c r="F90" s="3"/>
      <c r="G90" s="109">
        <f t="shared" si="48"/>
        <v>0</v>
      </c>
      <c r="H90" s="92">
        <f t="shared" si="54"/>
        <v>0</v>
      </c>
      <c r="I90" s="92">
        <f t="shared" si="42"/>
        <v>0</v>
      </c>
      <c r="J90" s="92">
        <f t="shared" si="43"/>
        <v>0</v>
      </c>
      <c r="K90" s="92">
        <f t="shared" si="44"/>
        <v>0</v>
      </c>
      <c r="L90" s="92"/>
      <c r="M90" s="92">
        <f t="shared" si="55"/>
        <v>0</v>
      </c>
      <c r="N90" s="92">
        <f t="shared" si="56"/>
        <v>0</v>
      </c>
      <c r="O90" s="92">
        <f t="shared" si="49"/>
        <v>0</v>
      </c>
      <c r="P90" s="92"/>
      <c r="Q90" s="92">
        <f t="shared" si="57"/>
        <v>0</v>
      </c>
      <c r="R90" s="92">
        <f t="shared" si="45"/>
        <v>0</v>
      </c>
      <c r="S90" s="92">
        <f>IF(T89=0,MAX(S$74:S89)+1,MAX(S$74:S89))</f>
        <v>1</v>
      </c>
      <c r="T90" s="92">
        <f t="shared" si="50"/>
        <v>14</v>
      </c>
      <c r="U90" s="92"/>
      <c r="V90" s="92">
        <f t="shared" si="46"/>
        <v>0</v>
      </c>
      <c r="W90" s="92">
        <f>IF(AND(X89=0,X90&lt;&gt;0),MAX(W$74:W89)+1,MAX(W$74:W89))</f>
        <v>1</v>
      </c>
      <c r="X90" s="92">
        <f t="shared" si="51"/>
        <v>14</v>
      </c>
      <c r="Y90" s="92"/>
      <c r="Z90" s="92">
        <f t="shared" si="47"/>
        <v>0</v>
      </c>
      <c r="AA90" s="92">
        <f>IF(AND(AB89=0,AB90&lt;&gt;0),MAX(AA$74:AA89)+1,MAX(AA$74:AA89))</f>
        <v>1</v>
      </c>
      <c r="AB90" s="92">
        <f t="shared" si="52"/>
        <v>14</v>
      </c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</row>
    <row r="91" spans="1:54" s="41" customFormat="1" x14ac:dyDescent="0.3">
      <c r="A91" s="108">
        <f t="shared" si="53"/>
        <v>317</v>
      </c>
      <c r="B91" s="2"/>
      <c r="C91" s="2"/>
      <c r="D91" s="2"/>
      <c r="E91" s="2"/>
      <c r="F91" s="3"/>
      <c r="G91" s="109">
        <f t="shared" si="48"/>
        <v>0</v>
      </c>
      <c r="H91" s="92">
        <f t="shared" si="54"/>
        <v>0</v>
      </c>
      <c r="I91" s="92">
        <f t="shared" si="42"/>
        <v>0</v>
      </c>
      <c r="J91" s="92">
        <f t="shared" si="43"/>
        <v>0</v>
      </c>
      <c r="K91" s="92">
        <f t="shared" si="44"/>
        <v>0</v>
      </c>
      <c r="L91" s="92"/>
      <c r="M91" s="92">
        <f t="shared" si="55"/>
        <v>0</v>
      </c>
      <c r="N91" s="92">
        <f t="shared" si="56"/>
        <v>0</v>
      </c>
      <c r="O91" s="92">
        <f t="shared" si="49"/>
        <v>0</v>
      </c>
      <c r="P91" s="92"/>
      <c r="Q91" s="92">
        <f t="shared" si="57"/>
        <v>0</v>
      </c>
      <c r="R91" s="92">
        <f t="shared" si="45"/>
        <v>0</v>
      </c>
      <c r="S91" s="92">
        <f>IF(T90=0,MAX(S$74:S90)+1,MAX(S$74:S90))</f>
        <v>1</v>
      </c>
      <c r="T91" s="92">
        <f t="shared" si="50"/>
        <v>14</v>
      </c>
      <c r="U91" s="92"/>
      <c r="V91" s="92">
        <f t="shared" si="46"/>
        <v>0</v>
      </c>
      <c r="W91" s="92">
        <f>IF(AND(X90=0,X91&lt;&gt;0),MAX(W$74:W90)+1,MAX(W$74:W90))</f>
        <v>1</v>
      </c>
      <c r="X91" s="92">
        <f t="shared" si="51"/>
        <v>14</v>
      </c>
      <c r="Y91" s="92"/>
      <c r="Z91" s="92">
        <f t="shared" ref="Z91:Z94" si="58">IF(V91=0,0,IF(AB91&lt;&gt;AB90,0,IF(SUM(F91:I91)=0,0,1)))</f>
        <v>0</v>
      </c>
      <c r="AA91" s="92">
        <f>IF(AND(AB90=0,AB91&lt;&gt;0),MAX(AA$74:AA90)+1,MAX(AA$74:AA90))</f>
        <v>1</v>
      </c>
      <c r="AB91" s="92">
        <f t="shared" si="52"/>
        <v>14</v>
      </c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</row>
    <row r="92" spans="1:54" s="41" customFormat="1" x14ac:dyDescent="0.3">
      <c r="A92" s="108">
        <f t="shared" si="53"/>
        <v>318</v>
      </c>
      <c r="B92" s="2"/>
      <c r="C92" s="2"/>
      <c r="D92" s="2"/>
      <c r="E92" s="2"/>
      <c r="F92" s="3"/>
      <c r="G92" s="109">
        <f t="shared" si="48"/>
        <v>0</v>
      </c>
      <c r="H92" s="92">
        <f t="shared" si="54"/>
        <v>0</v>
      </c>
      <c r="I92" s="92">
        <f t="shared" si="42"/>
        <v>0</v>
      </c>
      <c r="J92" s="92">
        <f t="shared" si="43"/>
        <v>0</v>
      </c>
      <c r="K92" s="92">
        <f t="shared" si="44"/>
        <v>0</v>
      </c>
      <c r="L92" s="92"/>
      <c r="M92" s="92">
        <f t="shared" si="55"/>
        <v>0</v>
      </c>
      <c r="N92" s="92">
        <f t="shared" si="56"/>
        <v>0</v>
      </c>
      <c r="O92" s="92">
        <f t="shared" si="49"/>
        <v>0</v>
      </c>
      <c r="P92" s="92"/>
      <c r="Q92" s="92">
        <f t="shared" si="57"/>
        <v>0</v>
      </c>
      <c r="R92" s="92">
        <f t="shared" si="45"/>
        <v>0</v>
      </c>
      <c r="S92" s="92">
        <f>IF(T91=0,MAX(S$74:S91)+1,MAX(S$74:S91))</f>
        <v>1</v>
      </c>
      <c r="T92" s="92">
        <f t="shared" si="50"/>
        <v>14</v>
      </c>
      <c r="U92" s="92"/>
      <c r="V92" s="92">
        <f t="shared" si="46"/>
        <v>0</v>
      </c>
      <c r="W92" s="92">
        <f>IF(AND(X91=0,X92&lt;&gt;0),MAX(W$74:W91)+1,MAX(W$74:W91))</f>
        <v>1</v>
      </c>
      <c r="X92" s="92">
        <f t="shared" si="51"/>
        <v>14</v>
      </c>
      <c r="Y92" s="92"/>
      <c r="Z92" s="92">
        <f t="shared" si="58"/>
        <v>0</v>
      </c>
      <c r="AA92" s="92">
        <f>IF(AND(AB91=0,AB92&lt;&gt;0),MAX(AA$74:AA91)+1,MAX(AA$74:AA91))</f>
        <v>1</v>
      </c>
      <c r="AB92" s="92">
        <f t="shared" si="52"/>
        <v>14</v>
      </c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</row>
    <row r="93" spans="1:54" s="41" customFormat="1" x14ac:dyDescent="0.3">
      <c r="A93" s="108">
        <f t="shared" si="53"/>
        <v>319</v>
      </c>
      <c r="B93" s="2"/>
      <c r="C93" s="2"/>
      <c r="D93" s="2"/>
      <c r="E93" s="2"/>
      <c r="F93" s="3"/>
      <c r="G93" s="109">
        <f t="shared" si="48"/>
        <v>0</v>
      </c>
      <c r="H93" s="92">
        <f t="shared" si="54"/>
        <v>0</v>
      </c>
      <c r="I93" s="92">
        <f t="shared" si="42"/>
        <v>0</v>
      </c>
      <c r="J93" s="92">
        <f t="shared" si="43"/>
        <v>0</v>
      </c>
      <c r="K93" s="92">
        <f t="shared" si="44"/>
        <v>0</v>
      </c>
      <c r="L93" s="92"/>
      <c r="M93" s="92">
        <f t="shared" si="55"/>
        <v>0</v>
      </c>
      <c r="N93" s="92">
        <f t="shared" si="56"/>
        <v>0</v>
      </c>
      <c r="O93" s="92">
        <f t="shared" si="49"/>
        <v>0</v>
      </c>
      <c r="P93" s="92"/>
      <c r="Q93" s="92">
        <f t="shared" si="57"/>
        <v>0</v>
      </c>
      <c r="R93" s="92">
        <f t="shared" si="45"/>
        <v>0</v>
      </c>
      <c r="S93" s="92">
        <f>IF(T92=0,MAX(S$74:S92)+1,MAX(S$74:S92))</f>
        <v>1</v>
      </c>
      <c r="T93" s="92">
        <f t="shared" si="50"/>
        <v>14</v>
      </c>
      <c r="U93" s="92"/>
      <c r="V93" s="92">
        <f t="shared" si="46"/>
        <v>0</v>
      </c>
      <c r="W93" s="92">
        <f>IF(AND(X92=0,X93&lt;&gt;0),MAX(W$74:W92)+1,MAX(W$74:W92))</f>
        <v>1</v>
      </c>
      <c r="X93" s="92">
        <f t="shared" si="51"/>
        <v>14</v>
      </c>
      <c r="Y93" s="92"/>
      <c r="Z93" s="92">
        <f t="shared" si="58"/>
        <v>0</v>
      </c>
      <c r="AA93" s="92">
        <f>IF(AND(AB92=0,AB93&lt;&gt;0),MAX(AA$74:AA92)+1,MAX(AA$74:AA92))</f>
        <v>1</v>
      </c>
      <c r="AB93" s="92">
        <f t="shared" si="52"/>
        <v>14</v>
      </c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</row>
    <row r="94" spans="1:54" s="41" customFormat="1" x14ac:dyDescent="0.3">
      <c r="A94" s="110">
        <f t="shared" si="53"/>
        <v>320</v>
      </c>
      <c r="B94" s="2"/>
      <c r="C94" s="2"/>
      <c r="D94" s="2"/>
      <c r="E94" s="2"/>
      <c r="F94" s="3"/>
      <c r="G94" s="109">
        <f t="shared" si="48"/>
        <v>0</v>
      </c>
      <c r="H94" s="92">
        <f t="shared" si="54"/>
        <v>0</v>
      </c>
      <c r="I94" s="92">
        <f t="shared" si="42"/>
        <v>0</v>
      </c>
      <c r="J94" s="92">
        <f t="shared" si="43"/>
        <v>0</v>
      </c>
      <c r="K94" s="92">
        <f t="shared" si="44"/>
        <v>0</v>
      </c>
      <c r="L94" s="92"/>
      <c r="M94" s="92">
        <f t="shared" si="55"/>
        <v>0</v>
      </c>
      <c r="N94" s="92">
        <f t="shared" si="56"/>
        <v>0</v>
      </c>
      <c r="O94" s="92">
        <f t="shared" si="49"/>
        <v>0</v>
      </c>
      <c r="P94" s="92"/>
      <c r="Q94" s="92">
        <f t="shared" si="57"/>
        <v>0</v>
      </c>
      <c r="R94" s="92">
        <f t="shared" si="45"/>
        <v>0</v>
      </c>
      <c r="S94" s="92">
        <f>IF(T93=0,MAX(S$74:S93)+1,MAX(S$74:S93))</f>
        <v>1</v>
      </c>
      <c r="T94" s="92">
        <f t="shared" si="50"/>
        <v>14</v>
      </c>
      <c r="U94" s="92"/>
      <c r="V94" s="92">
        <f t="shared" si="46"/>
        <v>0</v>
      </c>
      <c r="W94" s="92">
        <f>IF(AND(X93=0,X94&lt;&gt;0),MAX(W$74:W93)+1,MAX(W$74:W93))</f>
        <v>1</v>
      </c>
      <c r="X94" s="92">
        <f t="shared" si="51"/>
        <v>14</v>
      </c>
      <c r="Y94" s="92"/>
      <c r="Z94" s="92">
        <f t="shared" si="58"/>
        <v>0</v>
      </c>
      <c r="AA94" s="92">
        <f>IF(AND(AB93=0,AB94&lt;&gt;0),MAX(AA$74:AA93)+1,MAX(AA$74:AA93))</f>
        <v>1</v>
      </c>
      <c r="AB94" s="92">
        <f t="shared" si="52"/>
        <v>14</v>
      </c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</row>
    <row r="95" spans="1:54" s="92" customFormat="1" x14ac:dyDescent="0.3">
      <c r="B95" s="109">
        <f>SUBTOTAL(9,B75:B94)</f>
        <v>0</v>
      </c>
      <c r="C95" s="109">
        <f>SUBTOTAL(9,C75:C94)</f>
        <v>0</v>
      </c>
      <c r="D95" s="109">
        <f>SUBTOTAL(9,D75:D94)</f>
        <v>0</v>
      </c>
      <c r="E95" s="109">
        <f>SUBTOTAL(9,E75:E94)</f>
        <v>0</v>
      </c>
      <c r="F95" s="109">
        <f>SUBTOTAL(9,F75:F94)</f>
        <v>0</v>
      </c>
      <c r="G95" s="109">
        <f>SUM(G75:G94)</f>
        <v>0</v>
      </c>
      <c r="Q95" s="92">
        <f t="shared" si="57"/>
        <v>0</v>
      </c>
      <c r="R95" s="92">
        <f t="array" ref="R95">MIN(IF(R75:R94=1,Q75:Q94))</f>
        <v>0</v>
      </c>
      <c r="T95" s="92">
        <f t="shared" ref="T95" si="59">IF(T94=0,$Q$43-$Q95,IF(T94-$Q95&lt;0,T94,T94-$Q95))</f>
        <v>14</v>
      </c>
      <c r="X95" s="92">
        <f>SUMPRODUCT(V75:V94,$Q75:$Q94)</f>
        <v>0</v>
      </c>
    </row>
    <row r="96" spans="1:54" s="92" customFormat="1" x14ac:dyDescent="0.3">
      <c r="A96" s="109" t="e">
        <f t="array" aca="1" ref="A96" ca="1">SUM(LARGE(B75:B94,ROW(INDIRECT("a1:a"&amp;ROUNDUP(COUNTIF(B75:B94,"&gt;0")/2,0)))))</f>
        <v>#REF!</v>
      </c>
      <c r="B96" s="109">
        <f t="array" ref="B96">SUM(IF(($S$75:$S$94=1)*(B$75:B$94&gt;0)*($R$75:$R$94=0)+(B$75:B$94&gt;0)*($W$75:$W$94=1)*($V$75:$V$94&lt;&gt;$R$75:$R$94)+(B$75:B$94&gt;0)*($Z$75:$Z$94&lt;&gt;$V$75:$V$94)*($AA$75:$AA$94=1),B$75:B$94,0))</f>
        <v>0</v>
      </c>
      <c r="C96" s="109">
        <f t="array" ref="C96">SUM(IF(($S$75:$S$94=1)*(C$75:C$94&gt;0)*($R$75:$R$94=0)+(C$75:C$94&gt;0)*($W$75:$W$94=1)*($V$75:$V$94&lt;&gt;$R$75:$R$94)+(C$75:C$94&gt;0)*($Z$75:$Z$94&lt;&gt;$V$75:$V$94)*($AA$75:$AA$94=1),C$75:C$94,0))</f>
        <v>0</v>
      </c>
      <c r="D96" s="109">
        <f t="array" ref="D96">SUM(IF(($S$75:$S$94=1)*(D$75:D$94&gt;0)*($R$75:$R$94=0)+(D$75:D$94&gt;0)*($W$75:$W$94=1)*($V$75:$V$94&lt;&gt;$R$75:$R$94)+(D$75:D$94&gt;0)*($Z$75:$Z$94&lt;&gt;$V$75:$V$94)*($AA$75:$AA$94=1),D$75:D$94,0))</f>
        <v>0</v>
      </c>
      <c r="E96" s="109">
        <f t="array" ref="E96">SUM(IF(($S$75:$S$94=1)*(E$75:E$94&gt;0)*($R$75:$R$94=0)+(E$75:E$94&gt;0)*($W$75:$W$94=1)*($V$75:$V$94&lt;&gt;$R$75:$R$94)+(E$75:E$94&gt;0)*($Z$75:$Z$94&lt;&gt;$V$75:$V$94)*($AA$75:$AA$94=1),E$75:E$94,0))</f>
        <v>0</v>
      </c>
      <c r="F96" s="109">
        <f t="array" ref="F96">SUM(IF(($S$75:$S$94=1)*(F$75:F$94&gt;0)*($R$75:$R$94=0)+(F$75:F$94&gt;0)*($W$75:$W$94=1)*($V$75:$V$94&lt;&gt;$R$75:$R$94)+(F$75:F$94&gt;0)*($Z$75:$Z$94&lt;&gt;$V$75:$V$94)*($AA$75:$AA$94=1),F$75:F$94,0))</f>
        <v>0</v>
      </c>
      <c r="G96" s="109">
        <f t="array" ref="G96">SUM(IF(($S$75:$S$94=1)*(G$75:G$94&gt;0)*($R$75:$R$94=0)+(G$75:G$94&gt;0)*($W$75:$W$94=1)*($V$75:$V$94&lt;&gt;$R$75:$R$94)+(G$75:G$94&gt;0)*($Z$75:$Z$94&lt;&gt;$V$75:$V$94)*($AA$75:$AA$94=1),G$75:G$94,0))</f>
        <v>0</v>
      </c>
      <c r="Q96" s="92">
        <f t="shared" si="57"/>
        <v>0</v>
      </c>
    </row>
    <row r="97" spans="1:54" s="92" customFormat="1" x14ac:dyDescent="0.3">
      <c r="A97" s="109">
        <f>IF(B95&lt;=14,B95,B96)</f>
        <v>0</v>
      </c>
      <c r="B97" s="109">
        <f t="array" ref="B97">SUM(IF(($S$75:$S$94=2)*(B$75:B$94&gt;0)*($R$75:$R$94=0)+(B$75:B$94&gt;0)*($W$75:$W$94=2)*($V$75:$V$94&lt;&gt;$R$75:$R$94)+(B$75:B$94&gt;0)*($Z$75:$Z$94&lt;&gt;$V$75:$V$94)*($AA$75:$AA$94=2),B$75:B$94,0))</f>
        <v>0</v>
      </c>
      <c r="C97" s="109">
        <f t="array" ref="C97">SUM(IF(($S$75:$S$94=2)*(C$75:C$94&gt;0)*($R$75:$R$94=0)+(C$75:C$94&gt;0)*($W$75:$W$94=2)*($V$75:$V$94&lt;&gt;$R$75:$R$94)+(C$75:C$94&gt;0)*($Z$75:$Z$94&lt;&gt;$V$75:$V$94)*($AA$75:$AA$94=2),C$75:C$94,0))</f>
        <v>0</v>
      </c>
      <c r="D97" s="109">
        <f t="array" ref="D97">SUM(IF(($S$75:$S$94=2)*(D$75:D$94&gt;0)*($R$75:$R$94=0)+(D$75:D$94&gt;0)*($W$75:$W$94=2)*($V$75:$V$94&lt;&gt;$R$75:$R$94)+(D$75:D$94&gt;0)*($Z$75:$Z$94&lt;&gt;$V$75:$V$94)*($AA$75:$AA$94=2),D$75:D$94,0))</f>
        <v>0</v>
      </c>
      <c r="E97" s="109">
        <f t="array" ref="E97">SUM(IF(($S$75:$S$94=2)*(E$75:E$94&gt;0)*($R$75:$R$94=0)+(E$75:E$94&gt;0)*($W$75:$W$94=2)*($V$75:$V$94&lt;&gt;$R$75:$R$94)+(E$75:E$94&gt;0)*($Z$75:$Z$94&lt;&gt;$V$75:$V$94)*($AA$75:$AA$94=2),E$75:E$94,0))</f>
        <v>0</v>
      </c>
      <c r="F97" s="109">
        <f t="array" ref="F97">SUM(IF(($S$75:$S$94=2)*(F$75:F$94&gt;0)*($R$75:$R$94=0)+(F$75:F$94&gt;0)*($W$75:$W$94=2)*($V$75:$V$94&lt;&gt;$R$75:$R$94)+(F$75:F$94&gt;0)*($Z$75:$Z$94&lt;&gt;$V$75:$V$94)*($AA$75:$AA$94=2),F$75:F$94,0))</f>
        <v>0</v>
      </c>
      <c r="G97" s="109">
        <f t="array" ref="G97">SUM(IF(($S$75:$S$94=2)*(G$75:G$94&gt;0)*($R$75:$R$94=0)+(G$75:G$94&gt;0)*($W$75:$W$94=2)*($V$75:$V$94&lt;&gt;$R$75:$R$94)+(G$75:G$94&gt;0)*($Z$75:$Z$94&lt;&gt;$V$75:$V$94)*($AA$75:$AA$94=2),G$75:G$94,0))</f>
        <v>0</v>
      </c>
      <c r="Q97" s="92">
        <f t="shared" si="57"/>
        <v>0</v>
      </c>
    </row>
    <row r="98" spans="1:54" s="92" customFormat="1" x14ac:dyDescent="0.3">
      <c r="A98" s="109">
        <f>IF(C95&lt;=14,C95,C96)</f>
        <v>0</v>
      </c>
      <c r="B98" s="109">
        <f t="array" ref="B98">SUM(IF(($S$75:$S$94=3)*(B$75:B$94&gt;0)*($R$75:$R$94=0)+(B$75:B$94&gt;0)*($W$75:$W$94=3)*($V$75:$V$94&lt;&gt;$R$75:$R$94)+(B$75:B$94&gt;0)*($Z$75:$Z$94&lt;&gt;$V$75:$V$94)*($AA$75:$AA$94=3),B$75:B$94,0))</f>
        <v>0</v>
      </c>
      <c r="C98" s="109">
        <f t="array" ref="C98">SUM(IF(($S$75:$S$94=3)*(C$75:C$94&gt;0)*($R$75:$R$94=0)+(C$75:C$94&gt;0)*($W$75:$W$94=3)*($V$75:$V$94&lt;&gt;$R$75:$R$94)+(C$75:C$94&gt;0)*($Z$75:$Z$94&lt;&gt;$V$75:$V$94)*($AA$75:$AA$94=3),C$75:C$94,0))</f>
        <v>0</v>
      </c>
      <c r="D98" s="109">
        <f t="array" ref="D98">SUM(IF(($S$75:$S$94=3)*(D$75:D$94&gt;0)*($R$75:$R$94=0)+(D$75:D$94&gt;0)*($W$75:$W$94=3)*($V$75:$V$94&lt;&gt;$R$75:$R$94)+(D$75:D$94&gt;0)*($Z$75:$Z$94&lt;&gt;$V$75:$V$94)*($AA$75:$AA$94=3),D$75:D$94,0))</f>
        <v>0</v>
      </c>
      <c r="E98" s="109">
        <f t="array" ref="E98">SUM(IF(($S$75:$S$94=3)*(E$75:E$94&gt;0)*($R$75:$R$94=0)+(E$75:E$94&gt;0)*($W$75:$W$94=3)*($V$75:$V$94&lt;&gt;$R$75:$R$94)+(E$75:E$94&gt;0)*($Z$75:$Z$94&lt;&gt;$V$75:$V$94)*($AA$75:$AA$94=3),E$75:E$94,0))</f>
        <v>0</v>
      </c>
      <c r="F98" s="109">
        <f t="array" ref="F98">SUM(IF(($S$75:$S$94=3)*(F$75:F$94&gt;0)*($R$75:$R$94=0)+(F$75:F$94&gt;0)*($W$75:$W$94=3)*($V$75:$V$94&lt;&gt;$R$75:$R$94)+(F$75:F$94&gt;0)*($Z$75:$Z$94&lt;&gt;$V$75:$V$94)*($AA$75:$AA$94=3),F$75:F$94,0))</f>
        <v>0</v>
      </c>
      <c r="G98" s="109">
        <f t="array" ref="G98">SUM(IF(($S$75:$S$94=3)*(G$75:G$94&gt;0)*($R$75:$R$94=0)+(G$75:G$94&gt;0)*($W$75:$W$94=3)*($V$75:$V$94&lt;&gt;$R$75:$R$94)+(G$75:G$94&gt;0)*($Z$75:$Z$94&lt;&gt;$V$75:$V$94)*($AA$75:$AA$94=3),G$75:G$94,0))</f>
        <v>0</v>
      </c>
      <c r="Q98" s="92">
        <f t="shared" si="57"/>
        <v>0</v>
      </c>
    </row>
    <row r="99" spans="1:54" s="92" customFormat="1" x14ac:dyDescent="0.3">
      <c r="B99" s="109">
        <f t="array" ref="B99">SUM(IF(($S$75:$S$94=4)*(B$75:B$94&gt;0)*($R$75:$R$94=0)+(B$75:B$94&gt;0)*($W$75:$W$94=4)*($V$75:$V$94&lt;&gt;$R$75:$R$94)+(B$75:B$94&gt;0)*($Z$75:$Z$94&lt;&gt;$V$75:$V$94)*($AA$75:$AA$94=4),B$75:B$94,0))</f>
        <v>0</v>
      </c>
      <c r="C99" s="109">
        <f t="array" ref="C99">SUM(IF(($S$75:$S$94=4)*(C$75:C$94&gt;0)*($R$75:$R$94=0)+(C$75:C$94&gt;0)*($W$75:$W$94=4)*($V$75:$V$94&lt;&gt;$R$75:$R$94)+(C$75:C$94&gt;0)*($Z$75:$Z$94&lt;&gt;$V$75:$V$94)*($AA$75:$AA$94=4),C$75:C$94,0))</f>
        <v>0</v>
      </c>
      <c r="D99" s="109">
        <f t="array" ref="D99">SUM(IF(($S$75:$S$94=4)*(D$75:D$94&gt;0)*($R$75:$R$94=0)+(D$75:D$94&gt;0)*($W$75:$W$94=4)*($V$75:$V$94&lt;&gt;$R$75:$R$94)+(D$75:D$94&gt;0)*($Z$75:$Z$94&lt;&gt;$V$75:$V$94)*($AA$75:$AA$94=4),D$75:D$94,0))</f>
        <v>0</v>
      </c>
      <c r="E99" s="109">
        <f t="array" ref="E99">SUM(IF(($S$75:$S$94=4)*(E$75:E$94&gt;0)*($R$75:$R$94=0)+(E$75:E$94&gt;0)*($W$75:$W$94=4)*($V$75:$V$94&lt;&gt;$R$75:$R$94)+(E$75:E$94&gt;0)*($Z$75:$Z$94&lt;&gt;$V$75:$V$94)*($AA$75:$AA$94=4),E$75:E$94,0))</f>
        <v>0</v>
      </c>
      <c r="F99" s="109">
        <f t="array" ref="F99">SUM(IF(($S$75:$S$94=4)*(F$75:F$94&gt;0)*($R$75:$R$94=0)+(F$75:F$94&gt;0)*($W$75:$W$94=4)*($V$75:$V$94&lt;&gt;$R$75:$R$94)+(F$75:F$94&gt;0)*($Z$75:$Z$94&lt;&gt;$V$75:$V$94)*($AA$75:$AA$94=4),F$75:F$94,0))</f>
        <v>0</v>
      </c>
      <c r="G99" s="109">
        <f t="array" ref="G99">SUM(IF(($S$75:$S$94=4)*(G$75:G$94&gt;0)*($R$75:$R$94=0)+(G$75:G$94&gt;0)*($W$75:$W$94=4)*($V$75:$V$94&lt;&gt;$R$75:$R$94)+(G$75:G$94&gt;0)*($Z$75:$Z$94&lt;&gt;$V$75:$V$94)*($AA$75:$AA$94=4),G$75:G$94,0))</f>
        <v>0</v>
      </c>
      <c r="Q99" s="92">
        <f t="shared" si="57"/>
        <v>0</v>
      </c>
    </row>
    <row r="100" spans="1:54" s="92" customFormat="1" x14ac:dyDescent="0.3">
      <c r="B100" s="111">
        <f>(SUMPRODUCT((B96:B99&gt;0)*(C96:C99&gt;0))*SUMPRODUCT((B75:B94&gt;0)*(C75:C94&gt;0))&gt;0)*(1+(B95&gt;A97))</f>
        <v>0</v>
      </c>
      <c r="C100" s="109"/>
      <c r="D100" s="111">
        <f>(SUMPRODUCT((D96:D99&gt;0)*(E96:E99&gt;0))*SUMPRODUCT((D75:D94&gt;0)*(E75:E94&gt;0))&gt;0)*1</f>
        <v>0</v>
      </c>
      <c r="E100" s="116"/>
    </row>
    <row r="101" spans="1:54" s="92" customFormat="1" x14ac:dyDescent="0.3">
      <c r="C101" s="109"/>
      <c r="D101" s="116"/>
      <c r="E101" s="116"/>
    </row>
    <row r="102" spans="1:54" s="92" customFormat="1" x14ac:dyDescent="0.3">
      <c r="A102" s="117">
        <f>IF(Q37&gt;0,4,IF(Q36&gt;0,3,IF(Q35&gt;0,2,IF(Q34&gt;0,1,0))))</f>
        <v>1</v>
      </c>
      <c r="B102" s="109"/>
      <c r="C102" s="117">
        <f>IF(Q68&gt;0,4,IF(Q67&gt;0,3,IF(Q66&gt;0,2,IF(Q65&gt;0,1,0))))</f>
        <v>1</v>
      </c>
      <c r="D102" s="109"/>
      <c r="E102" s="117">
        <f>IF(Q99&gt;0,4,IF(Q98&gt;0,3,IF(Q97&gt;0,2,IF(Q96&gt;0,1,0))))</f>
        <v>0</v>
      </c>
      <c r="F102" s="109"/>
      <c r="G102" s="118">
        <f>SUM(A102,C102,E102)</f>
        <v>2</v>
      </c>
    </row>
    <row r="103" spans="1:54" s="92" customFormat="1" x14ac:dyDescent="0.3">
      <c r="A103" s="117">
        <f>MAX(COUNTIF(Q34:Q37,"&gt;8"),COUNTIF(G34:G37,"&gt;6"))</f>
        <v>1</v>
      </c>
      <c r="B103" s="109"/>
      <c r="C103" s="117">
        <f>MAX(COUNTIF(Q65:Q68,"&gt;8"),COUNTIF(G65:G68,"&gt;6"))</f>
        <v>1</v>
      </c>
      <c r="D103" s="109"/>
      <c r="E103" s="117">
        <f>MAX(COUNTIF(Q96:Q99,"&gt;8"),COUNTIF(G96:G99,"&gt;6"))</f>
        <v>0</v>
      </c>
      <c r="F103" s="109"/>
      <c r="G103" s="118">
        <f t="shared" ref="G103:G106" si="60">SUM(A103,C103,E103)</f>
        <v>2</v>
      </c>
    </row>
    <row r="104" spans="1:54" s="92" customFormat="1" ht="30" customHeight="1" x14ac:dyDescent="0.3">
      <c r="A104" s="117">
        <f>C9</f>
        <v>7</v>
      </c>
      <c r="C104" s="117">
        <f>C40</f>
        <v>9</v>
      </c>
      <c r="E104" s="117">
        <f>C71</f>
        <v>0</v>
      </c>
      <c r="G104" s="118">
        <f t="shared" si="60"/>
        <v>16</v>
      </c>
    </row>
    <row r="105" spans="1:54" s="92" customFormat="1" x14ac:dyDescent="0.3">
      <c r="A105" s="111">
        <v>0</v>
      </c>
      <c r="C105" s="111">
        <v>0</v>
      </c>
      <c r="E105" s="111">
        <v>0</v>
      </c>
      <c r="G105" s="118">
        <f t="shared" si="60"/>
        <v>0</v>
      </c>
    </row>
    <row r="106" spans="1:54" s="92" customFormat="1" x14ac:dyDescent="0.3">
      <c r="A106" s="117">
        <f>COUNTIF(N13:N32,"=2")</f>
        <v>2</v>
      </c>
      <c r="C106" s="117">
        <f>COUNTIF(N44:N63,"=2")</f>
        <v>0</v>
      </c>
      <c r="E106" s="117">
        <f>COUNTIF(N75:N94,"=2")</f>
        <v>0</v>
      </c>
      <c r="G106" s="118">
        <f t="shared" si="60"/>
        <v>2</v>
      </c>
    </row>
    <row r="107" spans="1:54" s="92" customFormat="1" x14ac:dyDescent="0.3">
      <c r="A107" s="111">
        <v>0</v>
      </c>
      <c r="C107" s="109"/>
      <c r="D107" s="109"/>
      <c r="E107" s="109"/>
    </row>
    <row r="108" spans="1:54" s="92" customFormat="1" x14ac:dyDescent="0.3">
      <c r="A108" s="111">
        <v>1</v>
      </c>
      <c r="C108" s="109"/>
      <c r="D108" s="109"/>
      <c r="E108" s="109"/>
    </row>
    <row r="109" spans="1:54" s="92" customFormat="1" x14ac:dyDescent="0.3">
      <c r="A109" s="111">
        <f>IF((A102&gt;0)*(C102&gt;0)*(E102&gt;0)*(SUM(A102,C102,E102)&lt;=4),0,1)</f>
        <v>1</v>
      </c>
      <c r="C109" s="109">
        <f>SUMPRODUCT(((C102&gt;0)*(E102&gt;0)*(SUM(A102,C102,E102)&lt;=4)+(ROUNDUP(SUM(A102,C102,E102)/4,0)&gt;1)))</f>
        <v>0</v>
      </c>
      <c r="D109" s="109"/>
      <c r="E109" s="109">
        <f>SUMPRODUCT((ROUNDUP(SUM(A102,C102,E102)/4,0)&gt;2)*1)</f>
        <v>0</v>
      </c>
      <c r="G109" s="118">
        <f t="shared" ref="G109" si="61">SUM(A109,C109,E109)</f>
        <v>1</v>
      </c>
    </row>
    <row r="110" spans="1:54" s="92" customFormat="1" x14ac:dyDescent="0.3">
      <c r="C110" s="109">
        <f>SUMPRODUCT((B96:B99&gt;0)*(C96:C99&gt;0))</f>
        <v>0</v>
      </c>
      <c r="D110" s="109"/>
    </row>
    <row r="111" spans="1:54" s="123" customFormat="1" x14ac:dyDescent="0.3">
      <c r="A111" s="125"/>
      <c r="C111" s="124"/>
      <c r="D111" s="124"/>
      <c r="E111" s="124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</row>
    <row r="112" spans="1:54" s="123" customFormat="1" x14ac:dyDescent="0.3">
      <c r="A112" s="125"/>
      <c r="C112" s="124"/>
      <c r="D112" s="124"/>
      <c r="E112" s="124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</row>
    <row r="113" spans="1:54" s="123" customFormat="1" x14ac:dyDescent="0.3">
      <c r="A113" s="125"/>
      <c r="C113" s="124"/>
      <c r="D113" s="124"/>
      <c r="E113" s="124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</row>
    <row r="114" spans="1:54" s="123" customFormat="1" x14ac:dyDescent="0.3">
      <c r="A114" s="125"/>
      <c r="C114" s="124"/>
      <c r="D114" s="124"/>
      <c r="E114" s="124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</row>
    <row r="115" spans="1:54" s="123" customFormat="1" x14ac:dyDescent="0.3">
      <c r="A115" s="125"/>
      <c r="C115" s="124"/>
      <c r="D115" s="124"/>
      <c r="E115" s="124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</row>
    <row r="116" spans="1:54" s="123" customFormat="1" x14ac:dyDescent="0.3">
      <c r="A116" s="125"/>
      <c r="C116" s="124"/>
      <c r="D116" s="124"/>
      <c r="E116" s="124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</row>
    <row r="117" spans="1:54" s="123" customFormat="1" x14ac:dyDescent="0.3">
      <c r="C117" s="124"/>
      <c r="D117" s="124"/>
      <c r="E117" s="124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</row>
    <row r="118" spans="1:54" s="123" customFormat="1" x14ac:dyDescent="0.3">
      <c r="C118" s="124"/>
      <c r="D118" s="124"/>
      <c r="E118" s="124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</row>
    <row r="119" spans="1:54" s="123" customFormat="1" ht="11.25" customHeight="1" x14ac:dyDescent="0.3">
      <c r="C119" s="124"/>
      <c r="D119" s="124"/>
      <c r="E119" s="124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</row>
    <row r="120" spans="1:54" s="123" customFormat="1" x14ac:dyDescent="0.3">
      <c r="C120" s="124"/>
      <c r="D120" s="124"/>
      <c r="E120" s="124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</row>
    <row r="121" spans="1:54" s="123" customFormat="1" ht="11.25" customHeight="1" x14ac:dyDescent="0.3">
      <c r="C121" s="124"/>
      <c r="D121" s="124"/>
      <c r="E121" s="124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</row>
    <row r="122" spans="1:54" s="41" customFormat="1" x14ac:dyDescent="0.3">
      <c r="C122" s="119"/>
      <c r="D122" s="119"/>
      <c r="E122" s="119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</row>
    <row r="123" spans="1:54" s="41" customFormat="1" x14ac:dyDescent="0.3">
      <c r="C123" s="119"/>
      <c r="D123" s="119"/>
      <c r="E123" s="119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</row>
    <row r="124" spans="1:54" s="41" customFormat="1" x14ac:dyDescent="0.3">
      <c r="C124" s="119"/>
      <c r="D124" s="119"/>
      <c r="E124" s="119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</row>
    <row r="125" spans="1:54" s="41" customFormat="1" x14ac:dyDescent="0.3">
      <c r="C125" s="119"/>
      <c r="D125" s="119"/>
      <c r="E125" s="119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</row>
    <row r="126" spans="1:54" s="41" customFormat="1" x14ac:dyDescent="0.3">
      <c r="C126" s="119"/>
      <c r="D126" s="119"/>
      <c r="E126" s="119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</row>
    <row r="127" spans="1:54" s="39" customFormat="1" x14ac:dyDescent="0.3">
      <c r="C127" s="58"/>
      <c r="D127" s="58"/>
      <c r="E127" s="58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</row>
    <row r="128" spans="1:54" s="39" customFormat="1" x14ac:dyDescent="0.3">
      <c r="C128" s="58"/>
      <c r="D128" s="58"/>
      <c r="E128" s="58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</row>
    <row r="129" spans="3:54" s="39" customFormat="1" x14ac:dyDescent="0.3">
      <c r="C129" s="58"/>
      <c r="D129" s="58"/>
      <c r="E129" s="58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</row>
    <row r="130" spans="3:54" s="39" customFormat="1" x14ac:dyDescent="0.3">
      <c r="C130" s="58"/>
      <c r="D130" s="58"/>
      <c r="E130" s="58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</row>
    <row r="131" spans="3:54" s="39" customFormat="1" x14ac:dyDescent="0.3">
      <c r="C131" s="58"/>
      <c r="D131" s="58"/>
      <c r="E131" s="58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</row>
    <row r="132" spans="3:54" s="39" customFormat="1" x14ac:dyDescent="0.3">
      <c r="C132" s="58"/>
      <c r="D132" s="58"/>
      <c r="E132" s="58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</row>
    <row r="133" spans="3:54" s="39" customFormat="1" x14ac:dyDescent="0.3">
      <c r="C133" s="58"/>
      <c r="D133" s="58"/>
      <c r="E133" s="58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</row>
    <row r="134" spans="3:54" s="39" customFormat="1" x14ac:dyDescent="0.3">
      <c r="C134" s="58"/>
      <c r="D134" s="58"/>
      <c r="E134" s="58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</row>
    <row r="135" spans="3:54" s="39" customFormat="1" x14ac:dyDescent="0.3">
      <c r="C135" s="58"/>
      <c r="D135" s="58"/>
      <c r="E135" s="58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</row>
    <row r="136" spans="3:54" s="39" customFormat="1" x14ac:dyDescent="0.3">
      <c r="C136" s="58"/>
      <c r="D136" s="58"/>
      <c r="E136" s="58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</row>
    <row r="137" spans="3:54" s="39" customFormat="1" x14ac:dyDescent="0.3">
      <c r="C137" s="58"/>
      <c r="D137" s="58"/>
      <c r="E137" s="58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</row>
    <row r="138" spans="3:54" s="39" customFormat="1" x14ac:dyDescent="0.3">
      <c r="C138" s="58"/>
      <c r="D138" s="58"/>
      <c r="E138" s="58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</row>
    <row r="139" spans="3:54" s="39" customFormat="1" x14ac:dyDescent="0.3">
      <c r="C139" s="58"/>
      <c r="D139" s="58"/>
      <c r="E139" s="58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</row>
    <row r="140" spans="3:54" s="39" customFormat="1" x14ac:dyDescent="0.3">
      <c r="C140" s="58"/>
      <c r="D140" s="58"/>
      <c r="E140" s="58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</row>
    <row r="141" spans="3:54" s="39" customFormat="1" x14ac:dyDescent="0.3">
      <c r="C141" s="58"/>
      <c r="D141" s="58"/>
      <c r="E141" s="58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</row>
    <row r="142" spans="3:54" s="39" customFormat="1" x14ac:dyDescent="0.3">
      <c r="C142" s="58"/>
      <c r="D142" s="58"/>
      <c r="E142" s="58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</row>
    <row r="143" spans="3:54" s="39" customFormat="1" x14ac:dyDescent="0.3">
      <c r="C143" s="58"/>
      <c r="D143" s="58"/>
      <c r="E143" s="58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</row>
    <row r="144" spans="3:54" s="39" customFormat="1" x14ac:dyDescent="0.3">
      <c r="C144" s="58"/>
      <c r="D144" s="58"/>
      <c r="E144" s="58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</row>
    <row r="145" spans="3:54" s="39" customFormat="1" x14ac:dyDescent="0.3">
      <c r="C145" s="58"/>
      <c r="D145" s="58"/>
      <c r="E145" s="58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</row>
    <row r="146" spans="3:54" s="39" customFormat="1" x14ac:dyDescent="0.3">
      <c r="C146" s="58"/>
      <c r="D146" s="58"/>
      <c r="E146" s="58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</row>
    <row r="147" spans="3:54" s="39" customFormat="1" x14ac:dyDescent="0.3">
      <c r="C147" s="58"/>
      <c r="D147" s="58"/>
      <c r="E147" s="58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</row>
    <row r="148" spans="3:54" s="39" customFormat="1" x14ac:dyDescent="0.3">
      <c r="C148" s="58"/>
      <c r="D148" s="58"/>
      <c r="E148" s="58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</row>
    <row r="149" spans="3:54" s="39" customFormat="1" x14ac:dyDescent="0.3">
      <c r="C149" s="58"/>
      <c r="D149" s="58"/>
      <c r="E149" s="58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</row>
    <row r="150" spans="3:54" s="39" customFormat="1" x14ac:dyDescent="0.3">
      <c r="C150" s="58"/>
      <c r="D150" s="58"/>
      <c r="E150" s="58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</row>
    <row r="151" spans="3:54" s="39" customFormat="1" x14ac:dyDescent="0.3">
      <c r="C151" s="58"/>
      <c r="D151" s="58"/>
      <c r="E151" s="58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</row>
    <row r="152" spans="3:54" s="39" customFormat="1" x14ac:dyDescent="0.3">
      <c r="C152" s="58"/>
      <c r="D152" s="58"/>
      <c r="E152" s="58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</row>
    <row r="153" spans="3:54" s="39" customFormat="1" x14ac:dyDescent="0.3">
      <c r="C153" s="58"/>
      <c r="D153" s="58"/>
      <c r="E153" s="58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</row>
    <row r="154" spans="3:54" s="39" customFormat="1" x14ac:dyDescent="0.3">
      <c r="C154" s="58"/>
      <c r="D154" s="58"/>
      <c r="E154" s="58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</row>
    <row r="155" spans="3:54" s="39" customFormat="1" x14ac:dyDescent="0.3">
      <c r="C155" s="58"/>
      <c r="D155" s="58"/>
      <c r="E155" s="58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</row>
    <row r="156" spans="3:54" s="39" customFormat="1" x14ac:dyDescent="0.3">
      <c r="C156" s="58"/>
      <c r="D156" s="58"/>
      <c r="E156" s="58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</row>
    <row r="157" spans="3:54" s="39" customFormat="1" x14ac:dyDescent="0.3">
      <c r="C157" s="58"/>
      <c r="D157" s="58"/>
      <c r="E157" s="58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</row>
    <row r="158" spans="3:54" s="39" customFormat="1" x14ac:dyDescent="0.3">
      <c r="C158" s="58"/>
      <c r="D158" s="58"/>
      <c r="E158" s="58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</row>
    <row r="159" spans="3:54" s="39" customFormat="1" x14ac:dyDescent="0.3">
      <c r="C159" s="58"/>
      <c r="D159" s="58"/>
      <c r="E159" s="58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</row>
    <row r="160" spans="3:54" s="39" customFormat="1" x14ac:dyDescent="0.3">
      <c r="C160" s="58"/>
      <c r="D160" s="58"/>
      <c r="E160" s="58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</row>
  </sheetData>
  <sheetProtection algorithmName="SHA-512" hashValue="m2Pr1gMwuCZnNqSPWdaSfn938rA/rDl1EL3vjRfod9bV3K7AtVYSS3WnlBu7GozgCOP6GlPB2gmsdF58IzOK3w==" saltValue="opFMcEh/Dyevo0br31gOTg==" spinCount="100000" sheet="1" objects="1" scenarios="1"/>
  <mergeCells count="10">
    <mergeCell ref="B5:D5"/>
    <mergeCell ref="A70:F70"/>
    <mergeCell ref="B71:B72"/>
    <mergeCell ref="C71:C72"/>
    <mergeCell ref="A8:F8"/>
    <mergeCell ref="B9:B10"/>
    <mergeCell ref="C9:C10"/>
    <mergeCell ref="A39:F39"/>
    <mergeCell ref="B40:B41"/>
    <mergeCell ref="C40:C41"/>
  </mergeCells>
  <conditionalFormatting sqref="F13:F32">
    <cfRule type="expression" dxfId="214" priority="3">
      <formula>$C$3="Дротова"</formula>
    </cfRule>
  </conditionalFormatting>
  <conditionalFormatting sqref="F44:F63">
    <cfRule type="expression" dxfId="213" priority="2">
      <formula>$C$3="Дротова"</formula>
    </cfRule>
  </conditionalFormatting>
  <conditionalFormatting sqref="F75:F94">
    <cfRule type="expression" dxfId="212" priority="1">
      <formula>$C$3="Дротова"</formula>
    </cfRule>
  </conditionalFormatting>
  <dataValidations count="2">
    <dataValidation type="list" allowBlank="1" showInputMessage="1" showErrorMessage="1" sqref="C4" xr:uid="{00000000-0002-0000-0300-000000000000}">
      <formula1>INDIRECT($C$3)</formula1>
    </dataValidation>
    <dataValidation type="list" allowBlank="1" showInputMessage="1" showErrorMessage="1" sqref="C3" xr:uid="{00000000-0002-0000-0300-000001000000}">
      <formula1>"Дротова, Бездротова"</formula1>
    </dataValidation>
  </dataValidations>
  <pageMargins left="0.70866141732283472" right="0.70866141732283472" top="0.74803149606299213" bottom="0.74803149606299213" header="0.31496062992125984" footer="0.31496062992125984"/>
  <pageSetup paperSize="9" scale="12" orientation="portrait" horizontalDpi="4294967292" r:id="rId1"/>
  <ignoredErrors>
    <ignoredError sqref="A14:A17" unlockedFormula="1"/>
  </ignoredError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Аркуш5">
    <tabColor rgb="FF0062C8"/>
  </sheetPr>
  <dimension ref="A1:BI28"/>
  <sheetViews>
    <sheetView zoomScale="55" zoomScaleNormal="55" workbookViewId="0"/>
  </sheetViews>
  <sheetFormatPr defaultColWidth="9.140625" defaultRowHeight="16.5" x14ac:dyDescent="0.3"/>
  <cols>
    <col min="1" max="1" width="18.140625" style="87" customWidth="1"/>
    <col min="2" max="54" width="12.7109375" style="87" customWidth="1"/>
    <col min="55" max="16384" width="9.140625" style="87"/>
  </cols>
  <sheetData>
    <row r="1" spans="1:61" s="82" customFormat="1" ht="31.5" customHeight="1" x14ac:dyDescent="0.35">
      <c r="A1" s="81" t="s">
        <v>38</v>
      </c>
      <c r="C1" s="83" t="s">
        <v>56</v>
      </c>
    </row>
    <row r="2" spans="1:61" s="84" customFormat="1" x14ac:dyDescent="0.3">
      <c r="B2" s="84">
        <f>IF('Вихідні дані'!I10="",0,'Вихідні дані'!I10)</f>
        <v>1</v>
      </c>
      <c r="C2" s="84">
        <f>IF('Вихідні дані'!J10="",0,'Вихідні дані'!J10)</f>
        <v>1</v>
      </c>
      <c r="D2" s="84">
        <f>IF('Вихідні дані'!K10="",0,'Вихідні дані'!K10)</f>
        <v>1</v>
      </c>
      <c r="E2" s="84">
        <f>IF('Вихідні дані'!L10="",0,'Вихідні дані'!L10)</f>
        <v>1</v>
      </c>
      <c r="F2" s="84">
        <f>IF('Вихідні дані'!M10="",0,'Вихідні дані'!M10)</f>
        <v>1</v>
      </c>
      <c r="G2" s="84">
        <f>IF('Вихідні дані'!N10="",0,'Вихідні дані'!N10)</f>
        <v>2</v>
      </c>
      <c r="H2" s="84">
        <f>IF('Вихідні дані'!O10="",0,'Вихідні дані'!O10)</f>
        <v>1</v>
      </c>
      <c r="I2" s="84">
        <f>IF('Вихідні дані'!P10="",0,'Вихідні дані'!P10)</f>
        <v>2</v>
      </c>
      <c r="J2" s="84">
        <f>IF('Вихідні дані'!Q10="",0,'Вихідні дані'!Q10)</f>
        <v>1</v>
      </c>
      <c r="K2" s="84">
        <f>IF('Вихідні дані'!R10="",0,'Вихідні дані'!R10)</f>
        <v>0</v>
      </c>
      <c r="L2" s="84">
        <f>IF('Вихідні дані'!S10="",0,'Вихідні дані'!S10)</f>
        <v>0</v>
      </c>
      <c r="M2" s="84">
        <f>IF('Вихідні дані'!T10="",0,'Вихідні дані'!T10)</f>
        <v>0</v>
      </c>
      <c r="N2" s="84">
        <f>IF('Вихідні дані'!U10="",0,'Вихідні дані'!U10)</f>
        <v>0</v>
      </c>
      <c r="O2" s="84">
        <f>IF('Вихідні дані'!V10="",0,'Вихідні дані'!V10)</f>
        <v>0</v>
      </c>
      <c r="P2" s="84">
        <f>IF('Вихідні дані'!W10="",0,'Вихідні дані'!W10)</f>
        <v>0</v>
      </c>
      <c r="Q2" s="84">
        <f>IF('Вихідні дані'!X10="",0,'Вихідні дані'!X10)</f>
        <v>0</v>
      </c>
      <c r="R2" s="84">
        <f>IF('Вихідні дані'!Y10="",0,'Вихідні дані'!Y10)</f>
        <v>0</v>
      </c>
      <c r="S2" s="84">
        <f>IF('Вихідні дані'!Z10="",0,'Вихідні дані'!Z10)</f>
        <v>0</v>
      </c>
      <c r="T2" s="84">
        <f>IF('Вихідні дані'!AA10="",0,'Вихідні дані'!AA10)</f>
        <v>0</v>
      </c>
      <c r="U2" s="84">
        <f>IF('Вихідні дані'!AB10="",0,'Вихідні дані'!AB10)</f>
        <v>0</v>
      </c>
      <c r="V2" s="84">
        <f>IF('Вихідні дані'!AC10="",0,'Вихідні дані'!AC10)</f>
        <v>0</v>
      </c>
      <c r="W2" s="84">
        <f>IF('Вихідні дані'!AD10="",0,'Вихідні дані'!AD10)</f>
        <v>0</v>
      </c>
      <c r="X2" s="84">
        <f>IF('Вихідні дані'!AE10="",0,'Вихідні дані'!AE10)</f>
        <v>0</v>
      </c>
      <c r="Y2" s="84">
        <f>IF('Вихідні дані'!AF10="",0,'Вихідні дані'!AF10)</f>
        <v>0</v>
      </c>
      <c r="Z2" s="84">
        <f>IF('Вихідні дані'!AG10="",0,'Вихідні дані'!AG10)</f>
        <v>0</v>
      </c>
      <c r="AA2" s="84">
        <f>IF('Вихідні дані'!AH10="",0,'Вихідні дані'!AH10)</f>
        <v>0</v>
      </c>
      <c r="AB2" s="84">
        <f>IF('Вихідні дані'!AI10="",0,'Вихідні дані'!AI10)</f>
        <v>0</v>
      </c>
      <c r="AC2" s="84">
        <f>IF('Вихідні дані'!AJ10="",0,'Вихідні дані'!AJ10)</f>
        <v>0</v>
      </c>
      <c r="AD2" s="84">
        <f>IF('Вихідні дані'!AK10="",0,'Вихідні дані'!AK10)</f>
        <v>0</v>
      </c>
      <c r="AE2" s="84">
        <f>IF('Вихідні дані'!AL10="",0,'Вихідні дані'!AL10)</f>
        <v>0</v>
      </c>
      <c r="AF2" s="84">
        <f>IF('Вихідні дані'!AM10="",0,'Вихідні дані'!AM10)</f>
        <v>0</v>
      </c>
      <c r="AG2" s="84">
        <f>IF('Вихідні дані'!AN10="",0,'Вихідні дані'!AN10)</f>
        <v>0</v>
      </c>
      <c r="AH2" s="84">
        <f>IF('Вихідні дані'!AO10="",0,'Вихідні дані'!AO10)</f>
        <v>0</v>
      </c>
      <c r="AI2" s="84">
        <f>IF('Вихідні дані'!AP10="",0,'Вихідні дані'!AP10)</f>
        <v>0</v>
      </c>
      <c r="AJ2" s="84">
        <f>IF('Вихідні дані'!AQ10="",0,'Вихідні дані'!AQ10)</f>
        <v>0</v>
      </c>
      <c r="AK2" s="84">
        <f>IF('Вихідні дані'!AR10="",0,'Вихідні дані'!AR10)</f>
        <v>0</v>
      </c>
      <c r="AL2" s="84">
        <f>IF('Вихідні дані'!AS10="",0,'Вихідні дані'!AS10)</f>
        <v>0</v>
      </c>
      <c r="AM2" s="84">
        <f>IF('Вихідні дані'!AT10="",0,'Вихідні дані'!AT10)</f>
        <v>0</v>
      </c>
      <c r="AN2" s="84">
        <f>IF('Вихідні дані'!AU10="",0,'Вихідні дані'!AU10)</f>
        <v>0</v>
      </c>
      <c r="AO2" s="84">
        <f>IF('Вихідні дані'!AV10="",0,'Вихідні дані'!AV10)</f>
        <v>0</v>
      </c>
    </row>
    <row r="3" spans="1:61" s="85" customFormat="1" ht="18.75" customHeight="1" x14ac:dyDescent="0.25">
      <c r="A3" s="85" t="s">
        <v>54</v>
      </c>
      <c r="B3" s="85">
        <f>'Вихідні дані'!I11</f>
        <v>101</v>
      </c>
      <c r="C3" s="85">
        <f>'Вихідні дані'!J11</f>
        <v>102</v>
      </c>
      <c r="D3" s="85">
        <f>'Вихідні дані'!K11</f>
        <v>103</v>
      </c>
      <c r="E3" s="85">
        <f>'Вихідні дані'!L11</f>
        <v>104</v>
      </c>
      <c r="F3" s="85">
        <f>'Вихідні дані'!M11</f>
        <v>105</v>
      </c>
      <c r="G3" s="85">
        <f>'Вихідні дані'!N11</f>
        <v>105</v>
      </c>
      <c r="H3" s="85">
        <f>'Вихідні дані'!O11</f>
        <v>106</v>
      </c>
      <c r="I3" s="85">
        <f>'Вихідні дані'!P11</f>
        <v>106</v>
      </c>
      <c r="J3" s="85">
        <f>'Вихідні дані'!Q11</f>
        <v>107</v>
      </c>
      <c r="K3" s="85" t="str">
        <f>'Вихідні дані'!R11</f>
        <v/>
      </c>
      <c r="L3" s="85" t="str">
        <f>'Вихідні дані'!S11</f>
        <v/>
      </c>
      <c r="M3" s="85" t="str">
        <f>'Вихідні дані'!T11</f>
        <v/>
      </c>
      <c r="N3" s="85" t="str">
        <f>'Вихідні дані'!U11</f>
        <v/>
      </c>
      <c r="O3" s="85" t="str">
        <f>'Вихідні дані'!V11</f>
        <v/>
      </c>
      <c r="P3" s="85" t="str">
        <f>'Вихідні дані'!W11</f>
        <v/>
      </c>
      <c r="Q3" s="85" t="str">
        <f>'Вихідні дані'!X11</f>
        <v/>
      </c>
      <c r="R3" s="85" t="str">
        <f>'Вихідні дані'!Y11</f>
        <v/>
      </c>
      <c r="S3" s="85" t="str">
        <f>'Вихідні дані'!Z11</f>
        <v/>
      </c>
      <c r="T3" s="85" t="str">
        <f>'Вихідні дані'!AA11</f>
        <v/>
      </c>
      <c r="U3" s="85" t="str">
        <f>'Вихідні дані'!AB11</f>
        <v/>
      </c>
      <c r="V3" s="85" t="str">
        <f>'Вихідні дані'!AC11</f>
        <v/>
      </c>
      <c r="W3" s="85" t="str">
        <f>'Вихідні дані'!AD11</f>
        <v/>
      </c>
      <c r="X3" s="85" t="str">
        <f>'Вихідні дані'!AE11</f>
        <v/>
      </c>
      <c r="Y3" s="85" t="str">
        <f>'Вихідні дані'!AF11</f>
        <v/>
      </c>
      <c r="Z3" s="85" t="str">
        <f>'Вихідні дані'!AG11</f>
        <v/>
      </c>
      <c r="AA3" s="85" t="str">
        <f>'Вихідні дані'!AH11</f>
        <v/>
      </c>
      <c r="AB3" s="85" t="str">
        <f>'Вихідні дані'!AI11</f>
        <v/>
      </c>
      <c r="AC3" s="85" t="str">
        <f>'Вихідні дані'!AJ11</f>
        <v/>
      </c>
      <c r="AD3" s="85" t="str">
        <f>'Вихідні дані'!AK11</f>
        <v/>
      </c>
      <c r="AE3" s="85" t="str">
        <f>'Вихідні дані'!AL11</f>
        <v/>
      </c>
      <c r="AF3" s="85" t="str">
        <f>'Вихідні дані'!AM11</f>
        <v/>
      </c>
      <c r="AG3" s="85" t="str">
        <f>'Вихідні дані'!AN11</f>
        <v/>
      </c>
      <c r="AH3" s="85" t="str">
        <f>'Вихідні дані'!AO11</f>
        <v/>
      </c>
      <c r="AI3" s="85" t="str">
        <f>'Вихідні дані'!AP11</f>
        <v/>
      </c>
      <c r="AJ3" s="85" t="str">
        <f>'Вихідні дані'!AQ11</f>
        <v/>
      </c>
      <c r="AK3" s="85" t="str">
        <f>'Вихідні дані'!AR11</f>
        <v/>
      </c>
      <c r="AL3" s="85" t="str">
        <f>'Вихідні дані'!AS11</f>
        <v/>
      </c>
      <c r="AM3" s="85" t="str">
        <f>'Вихідні дані'!AT11</f>
        <v/>
      </c>
      <c r="AN3" s="85" t="str">
        <f>'Вихідні дані'!AU11</f>
        <v/>
      </c>
      <c r="AO3" s="85" t="str">
        <f>'Вихідні дані'!AV11</f>
        <v/>
      </c>
      <c r="AP3" s="85" t="str">
        <f>'Вихідні дані'!AW11</f>
        <v/>
      </c>
      <c r="AQ3" s="85" t="str">
        <f>'Вихідні дані'!AX11</f>
        <v/>
      </c>
      <c r="AR3" s="85" t="str">
        <f>'Вихідні дані'!AY11</f>
        <v/>
      </c>
      <c r="AS3" s="85" t="str">
        <f>'Вихідні дані'!AZ11</f>
        <v/>
      </c>
      <c r="AT3" s="85" t="str">
        <f>'Вихідні дані'!BA11</f>
        <v/>
      </c>
      <c r="AU3" s="85" t="str">
        <f>'Вихідні дані'!BB11</f>
        <v/>
      </c>
      <c r="AV3" s="85" t="str">
        <f>'Вихідні дані'!BC11</f>
        <v/>
      </c>
      <c r="AW3" s="85" t="str">
        <f>'Вихідні дані'!BD11</f>
        <v/>
      </c>
      <c r="AX3" s="85" t="str">
        <f>'Вихідні дані'!BE11</f>
        <v/>
      </c>
      <c r="AY3" s="85" t="str">
        <f>'Вихідні дані'!BF11</f>
        <v/>
      </c>
      <c r="AZ3" s="85" t="str">
        <f>'Вихідні дані'!BG11</f>
        <v/>
      </c>
      <c r="BA3" s="85" t="str">
        <f>'Вихідні дані'!BH11</f>
        <v/>
      </c>
      <c r="BB3" s="85" t="str">
        <f>'Вихідні дані'!BI11</f>
        <v/>
      </c>
      <c r="BC3" s="85" t="str">
        <f>'Вихідні дані'!BJ11</f>
        <v/>
      </c>
      <c r="BD3" s="85" t="str">
        <f>'Вихідні дані'!BK11</f>
        <v/>
      </c>
      <c r="BE3" s="85" t="str">
        <f>'Вихідні дані'!BL11</f>
        <v/>
      </c>
      <c r="BF3" s="85" t="str">
        <f>'Вихідні дані'!BM11</f>
        <v/>
      </c>
      <c r="BG3" s="85" t="str">
        <f>'Вихідні дані'!BN11</f>
        <v/>
      </c>
      <c r="BH3" s="85" t="str">
        <f>'Вихідні дані'!BO11</f>
        <v/>
      </c>
      <c r="BI3" s="85" t="str">
        <f>'Вихідні дані'!BP11</f>
        <v/>
      </c>
    </row>
    <row r="4" spans="1:61" ht="60" customHeight="1" x14ac:dyDescent="0.3">
      <c r="A4" s="86"/>
    </row>
    <row r="5" spans="1:61" s="84" customFormat="1" ht="5.0999999999999996" customHeight="1" x14ac:dyDescent="0.3">
      <c r="B5" s="84">
        <f>'Вихідні дані'!I9</f>
        <v>1</v>
      </c>
      <c r="C5" s="84">
        <f>'Вихідні дані'!J9</f>
        <v>1</v>
      </c>
      <c r="D5" s="84">
        <f>'Вихідні дані'!K9</f>
        <v>1</v>
      </c>
      <c r="E5" s="84">
        <f>'Вихідні дані'!L9</f>
        <v>1</v>
      </c>
      <c r="F5" s="84">
        <f>'Вихідні дані'!M9</f>
        <v>1</v>
      </c>
      <c r="G5" s="84">
        <f>'Вихідні дані'!N9</f>
        <v>1</v>
      </c>
      <c r="H5" s="84">
        <f>'Вихідні дані'!O9</f>
        <v>1</v>
      </c>
      <c r="I5" s="84">
        <f>'Вихідні дані'!P9</f>
        <v>1</v>
      </c>
      <c r="J5" s="84">
        <f>'Вихідні дані'!Q9</f>
        <v>1</v>
      </c>
      <c r="K5" s="84" t="e">
        <f>'Вихідні дані'!R9</f>
        <v>#N/A</v>
      </c>
      <c r="L5" s="84" t="e">
        <f>'Вихідні дані'!S9</f>
        <v>#N/A</v>
      </c>
      <c r="M5" s="84" t="e">
        <f>'Вихідні дані'!T9</f>
        <v>#N/A</v>
      </c>
      <c r="N5" s="84" t="e">
        <f>'Вихідні дані'!U9</f>
        <v>#N/A</v>
      </c>
      <c r="O5" s="84" t="e">
        <f>'Вихідні дані'!V9</f>
        <v>#N/A</v>
      </c>
      <c r="P5" s="84" t="e">
        <f>'Вихідні дані'!W9</f>
        <v>#N/A</v>
      </c>
      <c r="Q5" s="84" t="e">
        <f>'Вихідні дані'!X9</f>
        <v>#N/A</v>
      </c>
      <c r="R5" s="84" t="e">
        <f>'Вихідні дані'!Y9</f>
        <v>#N/A</v>
      </c>
      <c r="S5" s="84" t="e">
        <f>'Вихідні дані'!Z9</f>
        <v>#N/A</v>
      </c>
      <c r="T5" s="84" t="e">
        <f>'Вихідні дані'!AA9</f>
        <v>#N/A</v>
      </c>
      <c r="U5" s="84" t="e">
        <f>'Вихідні дані'!AB9</f>
        <v>#N/A</v>
      </c>
      <c r="V5" s="84" t="e">
        <f>'Вихідні дані'!AC9</f>
        <v>#N/A</v>
      </c>
      <c r="W5" s="84" t="e">
        <f>'Вихідні дані'!AD9</f>
        <v>#N/A</v>
      </c>
      <c r="X5" s="84" t="e">
        <f>'Вихідні дані'!AE9</f>
        <v>#N/A</v>
      </c>
      <c r="Y5" s="84" t="e">
        <f>'Вихідні дані'!AF9</f>
        <v>#N/A</v>
      </c>
      <c r="Z5" s="84" t="e">
        <f>'Вихідні дані'!AG9</f>
        <v>#N/A</v>
      </c>
      <c r="AA5" s="84" t="e">
        <f>'Вихідні дані'!AH9</f>
        <v>#N/A</v>
      </c>
      <c r="AB5" s="84" t="e">
        <f>'Вихідні дані'!AI9</f>
        <v>#N/A</v>
      </c>
      <c r="AC5" s="84" t="e">
        <f>'Вихідні дані'!AJ9</f>
        <v>#N/A</v>
      </c>
      <c r="AD5" s="84" t="e">
        <f>'Вихідні дані'!AK9</f>
        <v>#N/A</v>
      </c>
      <c r="AE5" s="84" t="e">
        <f>'Вихідні дані'!AL9</f>
        <v>#N/A</v>
      </c>
      <c r="AF5" s="84" t="e">
        <f>'Вихідні дані'!AM9</f>
        <v>#N/A</v>
      </c>
      <c r="AG5" s="84" t="e">
        <f>'Вихідні дані'!AN9</f>
        <v>#N/A</v>
      </c>
      <c r="AH5" s="84" t="e">
        <f>'Вихідні дані'!AO9</f>
        <v>#N/A</v>
      </c>
      <c r="AI5" s="84" t="e">
        <f>'Вихідні дані'!AP9</f>
        <v>#N/A</v>
      </c>
      <c r="AJ5" s="84" t="e">
        <f>'Вихідні дані'!AQ9</f>
        <v>#N/A</v>
      </c>
      <c r="AK5" s="84" t="e">
        <f>'Вихідні дані'!AR9</f>
        <v>#N/A</v>
      </c>
      <c r="AL5" s="84" t="e">
        <f>'Вихідні дані'!AS9</f>
        <v>#N/A</v>
      </c>
      <c r="AM5" s="84" t="e">
        <f>'Вихідні дані'!AT9</f>
        <v>#N/A</v>
      </c>
      <c r="AN5" s="84" t="e">
        <f>'Вихідні дані'!AU9</f>
        <v>#N/A</v>
      </c>
      <c r="AO5" s="84" t="e">
        <f>'Вихідні дані'!AV9</f>
        <v>#N/A</v>
      </c>
    </row>
    <row r="7" spans="1:61" x14ac:dyDescent="0.3">
      <c r="A7" s="87" t="str">
        <f>IF('Вихідні дані'!A109&gt;0,Каталог!B9," ")</f>
        <v>Uponor Smatrix Модуль Wi-Fi Pulse com R-208</v>
      </c>
    </row>
    <row r="14" spans="1:61" ht="80.099999999999994" customHeight="1" x14ac:dyDescent="0.3"/>
    <row r="16" spans="1:61" ht="30.75" customHeight="1" x14ac:dyDescent="0.3">
      <c r="B16" s="167" t="str">
        <f>IF('Вихідні дані'!C3="Дротова",Каталог!B19,Каталог!B3)</f>
        <v>Uponor Smatrix Base Pulse 
Контролер X-245 6X</v>
      </c>
      <c r="C16" s="167"/>
      <c r="D16" s="167"/>
      <c r="E16" s="167"/>
      <c r="F16" s="165" t="str">
        <f>IF('Вихідні дані'!A103&gt;0,IF('Вихідні дані'!C3="Дротова",Каталог!B20,Каталог!B4)," ")</f>
        <v>Uponor Smatrix Base Pulse 
Модуль розширення M-242 BUS 6X</v>
      </c>
      <c r="G16" s="165"/>
      <c r="H16" s="165"/>
      <c r="J16" s="168" t="str">
        <f>IF('Вихідні дані'!$A$102&gt;1,IF('Вихідні дані'!$C$3="Дротова",Каталог!$B$19,Каталог!$B$3)," ")</f>
        <v xml:space="preserve"> </v>
      </c>
      <c r="K16" s="168"/>
      <c r="L16" s="168"/>
      <c r="M16" s="168"/>
      <c r="N16" s="164" t="str">
        <f>IF('Вихідні дані'!$A$103&gt;1,IF('Вихідні дані'!$C$3="Дротова",Каталог!$B$20,Каталог!$B$4)," ")</f>
        <v xml:space="preserve"> </v>
      </c>
      <c r="O16" s="164"/>
      <c r="P16" s="164"/>
      <c r="R16" s="168" t="str">
        <f>IF('Вихідні дані'!$A$102&gt;2,IF('Вихідні дані'!$C$3="Дротова",Каталог!$B$19,Каталог!$B$3)," ")</f>
        <v xml:space="preserve"> </v>
      </c>
      <c r="S16" s="168"/>
      <c r="T16" s="168"/>
      <c r="U16" s="168"/>
      <c r="V16" s="164" t="str">
        <f>IF('Вихідні дані'!$A$103&gt;2,IF('Вихідні дані'!$C$3="Дротова",Каталог!$B$20,Каталог!$B$4)," ")</f>
        <v xml:space="preserve"> </v>
      </c>
      <c r="W16" s="164"/>
      <c r="X16" s="164"/>
      <c r="Z16" s="167" t="str">
        <f>IF('Вихідні дані'!$A$102&gt;3,IF('Вихідні дані'!$C$3="Дротова",Каталог!$B$19,Каталог!$B$3)," ")</f>
        <v xml:space="preserve"> </v>
      </c>
      <c r="AA16" s="167"/>
      <c r="AB16" s="167"/>
      <c r="AC16" s="167"/>
      <c r="AD16" s="165" t="str">
        <f>IF('Вихідні дані'!$A$103&gt;3,IF('Вихідні дані'!$C$3="Дротова",Каталог!$B$20,Каталог!$B$4)," ")</f>
        <v xml:space="preserve"> </v>
      </c>
      <c r="AE16" s="165"/>
      <c r="AF16" s="165"/>
    </row>
    <row r="25" spans="1:30" ht="120" customHeight="1" x14ac:dyDescent="0.3">
      <c r="A25" s="88" t="str">
        <f>IF('Вихідні дані'!B38=0," ",Каталог!B16)</f>
        <v xml:space="preserve"> </v>
      </c>
      <c r="K25" s="88" t="str">
        <f>IF('Вихідні дані'!B38=2,Каталог!B16," ")</f>
        <v xml:space="preserve"> </v>
      </c>
      <c r="U25" s="88" t="str">
        <f>IF('Вихідні дані'!D38=0," ",Каталог!B16)</f>
        <v xml:space="preserve"> </v>
      </c>
    </row>
    <row r="27" spans="1:30" s="89" customFormat="1" ht="13.5" x14ac:dyDescent="0.25">
      <c r="B27" s="89" t="str">
        <f>IF('Вихідні дані'!A35=0," ","Uponor Vario PLUS Модульний пласт. колектор FM "&amp;'Вихідні дані'!A35&amp;" вих.")</f>
        <v>Uponor Vario PLUS Модульний пласт. колектор FM 9 вих.</v>
      </c>
      <c r="G27" s="89" t="str">
        <f>IF('Вихідні дані'!C33=0," ","Uponor Vario PLUS Модульний пласт. колектор FM "&amp;'Вихідні дані'!A36&amp;" вих.")</f>
        <v xml:space="preserve"> </v>
      </c>
      <c r="L27" s="89" t="str">
        <f>IF('Вихідні дані'!B33-'Вихідні дані'!A35=0," ","Uponor Vario PLUS Модульний пласт. колектор FM "&amp;'Вихідні дані'!B33-'Вихідні дані'!A35&amp;" вих.")</f>
        <v xml:space="preserve"> </v>
      </c>
      <c r="Q27" s="89" t="str">
        <f>IF('Вихідні дані'!C33-'Вихідні дані'!A36=0," ","Uponor Vario PLUS Модульний пласт. колектор FM "&amp;'Вихідні дані'!C33-'Вихідні дані'!A36&amp;" вих.")</f>
        <v xml:space="preserve"> </v>
      </c>
      <c r="V27" s="89" t="str">
        <f>IF('Вихідні дані'!D33=0," ","Uponor Vario PLUS Модульний пласт. колектор FM "&amp;'Вихідні дані'!D33&amp;" вих.")</f>
        <v>Uponor Vario PLUS Модульний пласт. колектор FM 4 вих.</v>
      </c>
      <c r="AA27" s="89" t="str">
        <f>IF('Вихідні дані'!E33=0," ","Uponor Vario PLUS Модульний пласт. колектор FM "&amp;'Вихідні дані'!E33&amp;" вих.")</f>
        <v xml:space="preserve"> </v>
      </c>
    </row>
    <row r="28" spans="1:30" x14ac:dyDescent="0.3">
      <c r="B28" s="166" t="str">
        <f>IF(B27=" "," ","ПІДЛОГА 1")</f>
        <v>ПІДЛОГА 1</v>
      </c>
      <c r="C28" s="166"/>
      <c r="D28" s="166"/>
      <c r="E28" s="166"/>
      <c r="G28" s="166" t="str">
        <f>IF(G27=" "," ","СТІНА/СТЕЛЯ 1")</f>
        <v xml:space="preserve"> </v>
      </c>
      <c r="H28" s="166"/>
      <c r="I28" s="166"/>
      <c r="J28" s="166"/>
      <c r="L28" s="166" t="str">
        <f>IF(L27=" "," ","ПІДЛОГА 2")</f>
        <v xml:space="preserve"> </v>
      </c>
      <c r="M28" s="166"/>
      <c r="N28" s="166"/>
      <c r="O28" s="166"/>
      <c r="Q28" s="166" t="str">
        <f>IF(Q27=" "," ","СТІНА/СТЕЛЯ 2")</f>
        <v xml:space="preserve"> </v>
      </c>
      <c r="R28" s="166"/>
      <c r="S28" s="166"/>
      <c r="T28" s="166"/>
      <c r="V28" s="166" t="str">
        <f>IF(V27=" "," ","РАДІАТОРИ/КОНВЕКТОРИ")</f>
        <v>РАДІАТОРИ/КОНВЕКТОРИ</v>
      </c>
      <c r="W28" s="166"/>
      <c r="X28" s="166"/>
      <c r="Y28" s="166"/>
      <c r="AA28" s="166" t="str">
        <f>IF(AA27=" "," ","ФАНКОЙЛИ")</f>
        <v xml:space="preserve"> </v>
      </c>
      <c r="AB28" s="166"/>
      <c r="AC28" s="166"/>
      <c r="AD28" s="166"/>
    </row>
  </sheetData>
  <sheetProtection algorithmName="SHA-512" hashValue="2Dy/sKtjToqRGA83Mrq2Kj2lmiJ/ymxKzWhc6Q41rDjtfx0PPKR+DCV2lFjPlAMdOfxGPO/I2FCK/x8v1tviog==" saltValue="clTG6VsTJvnt3YKL7p4txg==" spinCount="100000" sheet="1" objects="1" scenarios="1"/>
  <mergeCells count="14">
    <mergeCell ref="V16:X16"/>
    <mergeCell ref="AD16:AF16"/>
    <mergeCell ref="AA28:AD28"/>
    <mergeCell ref="B28:E28"/>
    <mergeCell ref="F16:H16"/>
    <mergeCell ref="G28:J28"/>
    <mergeCell ref="L28:O28"/>
    <mergeCell ref="N16:P16"/>
    <mergeCell ref="B16:E16"/>
    <mergeCell ref="J16:M16"/>
    <mergeCell ref="R16:U16"/>
    <mergeCell ref="Q28:T28"/>
    <mergeCell ref="V28:Y28"/>
    <mergeCell ref="Z16:AC16"/>
  </mergeCells>
  <conditionalFormatting sqref="A5:XFD5">
    <cfRule type="cellIs" dxfId="211" priority="59" operator="equal">
      <formula>4</formula>
    </cfRule>
    <cfRule type="cellIs" dxfId="210" priority="60" operator="equal">
      <formula>3</formula>
    </cfRule>
    <cfRule type="cellIs" dxfId="209" priority="61" operator="equal">
      <formula>1</formula>
    </cfRule>
    <cfRule type="cellIs" dxfId="208" priority="62" operator="equal">
      <formula>2</formula>
    </cfRule>
  </conditionalFormatting>
  <conditionalFormatting sqref="B16:H16">
    <cfRule type="cellIs" dxfId="207" priority="55" operator="notEqual">
      <formula>" "</formula>
    </cfRule>
  </conditionalFormatting>
  <conditionalFormatting sqref="J16:P16">
    <cfRule type="cellIs" dxfId="206" priority="54" operator="notEqual">
      <formula>" "</formula>
    </cfRule>
  </conditionalFormatting>
  <conditionalFormatting sqref="R16:X16">
    <cfRule type="cellIs" dxfId="205" priority="53" operator="notEqual">
      <formula>" "</formula>
    </cfRule>
  </conditionalFormatting>
  <conditionalFormatting sqref="Z16:AF16">
    <cfRule type="cellIs" dxfId="204" priority="25" operator="notEqual">
      <formula>" "</formula>
    </cfRule>
  </conditionalFormatting>
  <conditionalFormatting sqref="A13:A14 E14">
    <cfRule type="expression" dxfId="203" priority="2">
      <formula>$A$7&lt;&gt;" "</formula>
    </cfRule>
  </conditionalFormatting>
  <conditionalFormatting sqref="B15:E15">
    <cfRule type="expression" dxfId="202" priority="1">
      <formula>$A$7&lt;&gt;" "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5" id="{E4B977A4-6617-4371-92AD-9C63892D1E9C}">
            <xm:f>SUM('Вихідні дані'!$B$35:$E$35)&gt;0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K17:K22</xm:sqref>
        </x14:conditionalFormatting>
        <x14:conditionalFormatting xmlns:xm="http://schemas.microsoft.com/office/excel/2006/main">
          <x14:cfRule type="expression" priority="44" id="{10C718AD-FC61-47D9-ABEC-3479D7259E96}">
            <xm:f>SUM('Вихідні дані'!$B$36:$E$36)&gt;0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S17:S21</xm:sqref>
        </x14:conditionalFormatting>
        <x14:conditionalFormatting xmlns:xm="http://schemas.microsoft.com/office/excel/2006/main">
          <x14:cfRule type="expression" priority="1002" id="{A4F97FCB-91D9-45E5-BDA1-FA8ACBEDA2BB}">
            <xm:f>SUM('Вихідні дані'!$B$34:$E$34)&gt;0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C17:C23</xm:sqref>
        </x14:conditionalFormatting>
        <x14:conditionalFormatting xmlns:xm="http://schemas.microsoft.com/office/excel/2006/main">
          <x14:cfRule type="expression" priority="48" id="{5440C150-90F8-478F-854A-0B680927E618}">
            <xm:f>AND('Вихідні дані'!$B$33-'Вихідні дані'!$A$35&gt;0,'Вихідні дані'!$B$35&gt;0)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M23:M24</xm:sqref>
        </x14:conditionalFormatting>
        <x14:conditionalFormatting xmlns:xm="http://schemas.microsoft.com/office/excel/2006/main">
          <x14:cfRule type="expression" priority="47" id="{BBE008BF-2978-4970-AED5-9E51066E6F6E}">
            <xm:f>'Вихідні дані'!$A$35&gt;'Вихідні дані'!$B$34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D23:J23</xm:sqref>
        </x14:conditionalFormatting>
        <x14:conditionalFormatting xmlns:xm="http://schemas.microsoft.com/office/excel/2006/main">
          <x14:cfRule type="expression" priority="42" id="{130DA493-07DE-4CD4-8D8D-7666828A0206}">
            <xm:f>AND('Вихідні дані'!$B$35&gt;0,'Вихідні дані'!$A$35='Вихідні дані'!$B$33)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D23:D24</xm:sqref>
        </x14:conditionalFormatting>
        <x14:conditionalFormatting xmlns:xm="http://schemas.microsoft.com/office/excel/2006/main">
          <x14:cfRule type="expression" priority="43" id="{BB93B5A5-6BF3-41E8-8658-497454FEA7CD}">
            <xm:f>'Вихідні дані'!$B$34&gt;0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C24</xm:sqref>
        </x14:conditionalFormatting>
        <x14:conditionalFormatting xmlns:xm="http://schemas.microsoft.com/office/excel/2006/main">
          <x14:cfRule type="expression" priority="41" id="{7030E6FC-1FBB-40CE-9899-C505AFE561D2}">
            <xm:f>AND('Вихідні дані'!$B$33-'Вихідні дані'!$A$35&gt;0,'Вихідні дані'!$B$35&gt;0)</xm:f>
            <x14:dxf>
              <border>
                <bottom style="thin">
                  <color rgb="FFFFA300"/>
                </bottom>
                <vertical/>
                <horizontal/>
              </border>
            </x14:dxf>
          </x14:cfRule>
          <xm:sqref>K22:L22</xm:sqref>
        </x14:conditionalFormatting>
        <x14:conditionalFormatting xmlns:xm="http://schemas.microsoft.com/office/excel/2006/main">
          <x14:cfRule type="expression" priority="40" id="{C53A33FF-0E46-4646-B56A-76142902D5F4}">
            <xm:f>'Вихідні дані'!$C$34&gt;0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G24</xm:sqref>
        </x14:conditionalFormatting>
        <x14:conditionalFormatting xmlns:xm="http://schemas.microsoft.com/office/excel/2006/main">
          <x14:cfRule type="expression" priority="39" id="{ECB7E486-4CDC-4B03-9937-DF2F02AB9D64}">
            <xm:f>AND('Вихідні дані'!$B$33-'Вихідні дані'!$A$35&gt;0,'Вихідні дані'!$B$36&gt;0)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N22:N24</xm:sqref>
        </x14:conditionalFormatting>
        <x14:conditionalFormatting xmlns:xm="http://schemas.microsoft.com/office/excel/2006/main">
          <x14:cfRule type="expression" priority="38" id="{AE7EA637-E2FF-417D-A9F3-81C5CBEE260D}">
            <xm:f>AND('Вихідні дані'!$B$33-'Вихідні дані'!$A$35&gt;0,'Вихідні дані'!$B$36&gt;0)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N22:R22</xm:sqref>
        </x14:conditionalFormatting>
        <x14:conditionalFormatting xmlns:xm="http://schemas.microsoft.com/office/excel/2006/main">
          <x14:cfRule type="expression" priority="37" id="{04B489DF-7F87-4823-823E-EB3F43723BD2}">
            <xm:f>AND('Вихідні дані'!$C$35&gt;0,'Вихідні дані'!$C$33='Вихідні дані'!$A$36)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H23:H24</xm:sqref>
        </x14:conditionalFormatting>
        <x14:conditionalFormatting xmlns:xm="http://schemas.microsoft.com/office/excel/2006/main">
          <x14:cfRule type="expression" priority="36" id="{77CF6BEF-48CE-4CF3-8AED-BE438FB70144}">
            <xm:f>AND('Вихідні дані'!$C$35&gt;0,'Вихідні дані'!$C$33='Вихідні дані'!$A$36)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H23:J23</xm:sqref>
        </x14:conditionalFormatting>
        <x14:conditionalFormatting xmlns:xm="http://schemas.microsoft.com/office/excel/2006/main">
          <x14:cfRule type="expression" priority="35" id="{0A778128-0DF7-433C-B960-09317AB41D5C}">
            <xm:f>AND('Вихідні дані'!$C$36&gt;0,'Вихідні дані'!$C$33='Вихідні дані'!$A$36)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I22:I24</xm:sqref>
        </x14:conditionalFormatting>
        <x14:conditionalFormatting xmlns:xm="http://schemas.microsoft.com/office/excel/2006/main">
          <x14:cfRule type="expression" priority="34" id="{C7A1BAE1-B26E-4A92-9D53-58AAE8DA6CC2}">
            <xm:f>AND('Вихідні дані'!$C$36&gt;0,'Вихідні дані'!$C$33='Вихідні дані'!$A$36)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I22:R22</xm:sqref>
        </x14:conditionalFormatting>
        <x14:conditionalFormatting xmlns:xm="http://schemas.microsoft.com/office/excel/2006/main">
          <x14:cfRule type="expression" priority="33" id="{79430EC7-C4D1-42DC-AB3D-7F4E34F38F24}">
            <xm:f>AND('Вихідні дані'!$B$33&gt;'Вихідні дані'!$A$35,'Вихідні дані'!$B$37&gt;0)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O21:O24</xm:sqref>
        </x14:conditionalFormatting>
        <x14:conditionalFormatting xmlns:xm="http://schemas.microsoft.com/office/excel/2006/main">
          <x14:cfRule type="expression" priority="32" id="{B0271CE5-8561-4764-8750-114DB7CCAE08}">
            <xm:f>AND('Вихідні дані'!$B$36&gt;0,'Вихідні дані'!$A$35='Вихідні дані'!$B$33)</xm:f>
            <x14:dxf>
              <border>
                <left style="thin">
                  <color rgb="FF8CD600"/>
                </left>
                <right/>
                <vertical/>
                <horizontal/>
              </border>
            </x14:dxf>
          </x14:cfRule>
          <xm:sqref>E22:E24</xm:sqref>
        </x14:conditionalFormatting>
        <x14:conditionalFormatting xmlns:xm="http://schemas.microsoft.com/office/excel/2006/main">
          <x14:cfRule type="expression" priority="31" id="{24D35025-A296-4F0B-8C24-3D5710E34F8F}">
            <xm:f>AND('Вихідні дані'!$B$36&gt;0,'Вихідні дані'!$A$35='Вихідні дані'!$B$33)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E22:R22</xm:sqref>
        </x14:conditionalFormatting>
        <x14:conditionalFormatting xmlns:xm="http://schemas.microsoft.com/office/excel/2006/main">
          <x14:cfRule type="expression" priority="30" id="{0FAD7932-3434-4399-9DD0-08D40DB27680}">
            <xm:f>'Вихідні дані'!$C$34&gt;0</xm:f>
            <x14:dxf>
              <border>
                <top style="thin">
                  <color rgb="FF203764"/>
                </top>
                <vertical/>
                <horizontal/>
              </border>
            </x14:dxf>
          </x14:cfRule>
          <xm:sqref>C24:F24</xm:sqref>
        </x14:conditionalFormatting>
        <x14:conditionalFormatting xmlns:xm="http://schemas.microsoft.com/office/excel/2006/main">
          <x14:cfRule type="expression" priority="29" id="{C6088265-4260-46EB-8431-ABA620169F15}">
            <xm:f>AND('Вихідні дані'!$B$37&gt;0,'Вихідні дані'!$A$35='Вихідні дані'!$B$33)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F21:F24</xm:sqref>
        </x14:conditionalFormatting>
        <x14:conditionalFormatting xmlns:xm="http://schemas.microsoft.com/office/excel/2006/main">
          <x14:cfRule type="expression" priority="28" id="{F2EB60AD-FD5B-445B-99E1-317577D3C26E}">
            <xm:f>AND('Вихідні дані'!$B$37&gt;0,'Вихідні дані'!$A$35='Вихідні дані'!$B$33)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F21:Z21</xm:sqref>
        </x14:conditionalFormatting>
        <x14:conditionalFormatting xmlns:xm="http://schemas.microsoft.com/office/excel/2006/main">
          <x14:cfRule type="expression" priority="27" id="{73DBD66B-E758-4A25-8F05-F506C31164EC}">
            <xm:f>AND('Вихідні дані'!$B$33&gt;'Вихідні дані'!$A$35,'Вихідні дані'!$B$37&gt;0)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O21:Z21</xm:sqref>
        </x14:conditionalFormatting>
        <x14:conditionalFormatting xmlns:xm="http://schemas.microsoft.com/office/excel/2006/main">
          <x14:cfRule type="expression" priority="26" id="{FC2E5C76-0A5C-4C47-ADC3-143F2260EEC0}">
            <xm:f>SUM('Вихідні дані'!$B$37:$E$37)&gt;0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AA17:AA20</xm:sqref>
        </x14:conditionalFormatting>
        <x14:conditionalFormatting xmlns:xm="http://schemas.microsoft.com/office/excel/2006/main">
          <x14:cfRule type="expression" priority="22" id="{F873BD06-DD57-4417-9762-9BB9C3FCBC4D}">
            <xm:f>AND('Вихідні дані'!$C$35&gt;0,'Вихідні дані'!$C$33&gt;'Вихідні дані'!$A$36)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R23:R24</xm:sqref>
        </x14:conditionalFormatting>
        <x14:conditionalFormatting xmlns:xm="http://schemas.microsoft.com/office/excel/2006/main">
          <x14:cfRule type="expression" priority="21" id="{99774753-F790-4DEE-8735-75A43551C9E2}">
            <xm:f>AND('Вихідні дані'!$C$35&gt;0,'Вихідні дані'!$C$33&gt;'Вихідні дані'!$A$36)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K23:Q23</xm:sqref>
        </x14:conditionalFormatting>
        <x14:conditionalFormatting xmlns:xm="http://schemas.microsoft.com/office/excel/2006/main">
          <x14:cfRule type="expression" priority="20" id="{E1FC5127-348C-4946-B93D-05FA75E84229}">
            <xm:f>AND('Вихідні дані'!$C$36&gt;0,'Вихідні дані'!$C$33&gt;'Вихідні дані'!$A$36)</xm:f>
            <x14:dxf>
              <border>
                <left style="thin">
                  <color rgb="FF8CD600"/>
                </left>
              </border>
            </x14:dxf>
          </x14:cfRule>
          <xm:sqref>S22:S24</xm:sqref>
        </x14:conditionalFormatting>
        <x14:conditionalFormatting xmlns:xm="http://schemas.microsoft.com/office/excel/2006/main">
          <x14:cfRule type="expression" priority="19" id="{C7AF8378-5279-4863-90BA-FD85BEC81312}">
            <xm:f>AND('Вихідні дані'!$C$37&gt;0,'Вихідні дані'!$C$33&gt;'Вихідні дані'!$A$36)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T21:T24</xm:sqref>
        </x14:conditionalFormatting>
        <x14:conditionalFormatting xmlns:xm="http://schemas.microsoft.com/office/excel/2006/main">
          <x14:cfRule type="expression" priority="18" id="{46A6CC05-8815-4AF9-8DD9-E4E6E6944E73}">
            <xm:f>'Вихідні дані'!$D$34&gt;0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V24</xm:sqref>
        </x14:conditionalFormatting>
        <x14:conditionalFormatting xmlns:xm="http://schemas.microsoft.com/office/excel/2006/main">
          <x14:cfRule type="expression" priority="17" id="{2ECBF74C-84D3-4CBD-B625-44AA474E006F}">
            <xm:f>'Вихідні дані'!$D$35&gt;0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W23:W24</xm:sqref>
        </x14:conditionalFormatting>
        <x14:conditionalFormatting xmlns:xm="http://schemas.microsoft.com/office/excel/2006/main">
          <x14:cfRule type="expression" priority="16" id="{CBF36310-13F5-4912-A5F0-7BD4000C43DD}">
            <xm:f>'Вихідні дані'!$D$35&gt;0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K23:V23</xm:sqref>
        </x14:conditionalFormatting>
        <x14:conditionalFormatting xmlns:xm="http://schemas.microsoft.com/office/excel/2006/main">
          <x14:cfRule type="expression" priority="15" id="{0EBAA7F6-5EA3-4BD0-8BF6-EA943A4516C5}">
            <xm:f>'Вихідні дані'!$D$34&gt;0</xm:f>
            <x14:dxf>
              <border>
                <top style="thin">
                  <color rgb="FF203764"/>
                </top>
              </border>
            </x14:dxf>
          </x14:cfRule>
          <xm:sqref>C24:U24</xm:sqref>
        </x14:conditionalFormatting>
        <x14:conditionalFormatting xmlns:xm="http://schemas.microsoft.com/office/excel/2006/main">
          <x14:cfRule type="expression" priority="14" id="{F0FB43AA-AF5E-4478-AB58-029892CAA32F}">
            <xm:f>'Вихідні дані'!$D$36&gt;0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X22:X24</xm:sqref>
        </x14:conditionalFormatting>
        <x14:conditionalFormatting xmlns:xm="http://schemas.microsoft.com/office/excel/2006/main">
          <x14:cfRule type="expression" priority="13" id="{8C0BBCAB-D62B-4AA2-8777-3D3B946C2A22}">
            <xm:f>'Вихідні дані'!$D$36&gt;0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S22:W22</xm:sqref>
        </x14:conditionalFormatting>
        <x14:conditionalFormatting xmlns:xm="http://schemas.microsoft.com/office/excel/2006/main">
          <x14:cfRule type="expression" priority="12" id="{58771ED4-FCB6-4EBE-AAC7-A9B6B601171C}">
            <xm:f>'Вихідні дані'!$D$37&gt;0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Y21:Y24</xm:sqref>
        </x14:conditionalFormatting>
        <x14:conditionalFormatting xmlns:xm="http://schemas.microsoft.com/office/excel/2006/main">
          <x14:cfRule type="expression" priority="11" id="{EF2C0115-E4CE-4248-9BB8-6BB531CD0B12}">
            <xm:f>'Вихідні дані'!$D$37&gt;0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Y21:Z21</xm:sqref>
        </x14:conditionalFormatting>
        <x14:conditionalFormatting xmlns:xm="http://schemas.microsoft.com/office/excel/2006/main">
          <x14:cfRule type="expression" priority="10" id="{7B54BC08-9C4B-4900-B007-165675598AEB}">
            <xm:f>'Вихідні дані'!$E$34&gt;0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AA24</xm:sqref>
        </x14:conditionalFormatting>
        <x14:conditionalFormatting xmlns:xm="http://schemas.microsoft.com/office/excel/2006/main">
          <x14:cfRule type="expression" priority="9" id="{ED47B293-69BA-48DD-A9A5-AAC96479915A}">
            <xm:f>'Вихідні дані'!$E$34&gt;0</xm:f>
            <x14:dxf>
              <border>
                <top style="thin">
                  <color rgb="FF203764"/>
                </top>
                <vertical/>
                <horizontal/>
              </border>
            </x14:dxf>
          </x14:cfRule>
          <xm:sqref>C24:Z24</xm:sqref>
        </x14:conditionalFormatting>
        <x14:conditionalFormatting xmlns:xm="http://schemas.microsoft.com/office/excel/2006/main">
          <x14:cfRule type="expression" priority="8" id="{8E7C0E41-F2EE-478F-B495-2052C42C8103}">
            <xm:f>'Вихідні дані'!$E$35&gt;0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AB23:AB24</xm:sqref>
        </x14:conditionalFormatting>
        <x14:conditionalFormatting xmlns:xm="http://schemas.microsoft.com/office/excel/2006/main">
          <x14:cfRule type="expression" priority="7" id="{AAF03B64-CF95-46E3-927A-A4C10937C435}">
            <xm:f>'Вихідні дані'!$E$35&gt;0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K23:AA23</xm:sqref>
        </x14:conditionalFormatting>
        <x14:conditionalFormatting xmlns:xm="http://schemas.microsoft.com/office/excel/2006/main">
          <x14:cfRule type="expression" priority="6" id="{B1994F1B-AA42-48D6-9B9F-8D70D48FACED}">
            <xm:f>'Вихідні дані'!$E$36&gt;0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AC22:AC24</xm:sqref>
        </x14:conditionalFormatting>
        <x14:conditionalFormatting xmlns:xm="http://schemas.microsoft.com/office/excel/2006/main">
          <x14:cfRule type="expression" priority="5" id="{37D24AD2-AD42-4A63-9261-BC8541AF60BB}">
            <xm:f>'Вихідні дані'!$E$36&gt;0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S22:AB22</xm:sqref>
        </x14:conditionalFormatting>
        <x14:conditionalFormatting xmlns:xm="http://schemas.microsoft.com/office/excel/2006/main">
          <x14:cfRule type="expression" priority="4" id="{A51614B2-DB40-4D4F-8DE0-9DD06824C2CD}">
            <xm:f>'Вихідні дані'!$E$37&gt;0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AD21:AD24</xm:sqref>
        </x14:conditionalFormatting>
        <x14:conditionalFormatting xmlns:xm="http://schemas.microsoft.com/office/excel/2006/main">
          <x14:cfRule type="expression" priority="3" id="{3E061D08-634F-4C83-9C9F-1BF470CEF130}">
            <xm:f>'Вихідні дані'!$E$37&gt;0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AA21:AC21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2C8"/>
  </sheetPr>
  <dimension ref="A1:BI28"/>
  <sheetViews>
    <sheetView zoomScale="55" zoomScaleNormal="55" workbookViewId="0"/>
  </sheetViews>
  <sheetFormatPr defaultColWidth="9.140625" defaultRowHeight="16.5" x14ac:dyDescent="0.3"/>
  <cols>
    <col min="1" max="1" width="18.140625" style="87" customWidth="1"/>
    <col min="2" max="54" width="12.7109375" style="87" customWidth="1"/>
    <col min="55" max="16384" width="9.140625" style="87"/>
  </cols>
  <sheetData>
    <row r="1" spans="1:61" s="82" customFormat="1" ht="31.5" customHeight="1" x14ac:dyDescent="0.35">
      <c r="A1" s="81" t="s">
        <v>60</v>
      </c>
      <c r="C1" s="83" t="s">
        <v>56</v>
      </c>
    </row>
    <row r="2" spans="1:61" s="84" customFormat="1" x14ac:dyDescent="0.3">
      <c r="B2" s="84">
        <f>IF('Вихідні дані'!I41="",0,'Вихідні дані'!I41)</f>
        <v>1</v>
      </c>
      <c r="C2" s="84">
        <f>IF('Вихідні дані'!J41="",0,'Вихідні дані'!J41)</f>
        <v>1</v>
      </c>
      <c r="D2" s="84">
        <f>IF('Вихідні дані'!K41="",0,'Вихідні дані'!K41)</f>
        <v>1</v>
      </c>
      <c r="E2" s="84">
        <f>IF('Вихідні дані'!L41="",0,'Вихідні дані'!L41)</f>
        <v>1</v>
      </c>
      <c r="F2" s="84">
        <f>IF('Вихідні дані'!M41="",0,'Вихідні дані'!M41)</f>
        <v>1</v>
      </c>
      <c r="G2" s="84">
        <f>IF('Вихідні дані'!N41="",0,'Вихідні дані'!N41)</f>
        <v>1</v>
      </c>
      <c r="H2" s="84">
        <f>IF('Вихідні дані'!O41="",0,'Вихідні дані'!O41)</f>
        <v>1</v>
      </c>
      <c r="I2" s="84">
        <f>IF('Вихідні дані'!P41="",0,'Вихідні дані'!P41)</f>
        <v>1</v>
      </c>
      <c r="J2" s="84">
        <f>IF('Вихідні дані'!Q41="",0,'Вихідні дані'!Q41)</f>
        <v>1</v>
      </c>
      <c r="K2" s="84">
        <f>IF('Вихідні дані'!R41="",0,'Вихідні дані'!R41)</f>
        <v>0</v>
      </c>
      <c r="L2" s="84">
        <f>IF('Вихідні дані'!S41="",0,'Вихідні дані'!S41)</f>
        <v>0</v>
      </c>
      <c r="M2" s="84">
        <f>IF('Вихідні дані'!T41="",0,'Вихідні дані'!T41)</f>
        <v>0</v>
      </c>
      <c r="N2" s="84">
        <f>IF('Вихідні дані'!U41="",0,'Вихідні дані'!U41)</f>
        <v>0</v>
      </c>
      <c r="O2" s="84">
        <f>IF('Вихідні дані'!V41="",0,'Вихідні дані'!V41)</f>
        <v>0</v>
      </c>
      <c r="P2" s="84">
        <f>IF('Вихідні дані'!W41="",0,'Вихідні дані'!W41)</f>
        <v>0</v>
      </c>
      <c r="Q2" s="84">
        <f>IF('Вихідні дані'!X41="",0,'Вихідні дані'!X41)</f>
        <v>0</v>
      </c>
      <c r="R2" s="84">
        <f>IF('Вихідні дані'!Y41="",0,'Вихідні дані'!Y41)</f>
        <v>0</v>
      </c>
      <c r="S2" s="84">
        <f>IF('Вихідні дані'!Z41="",0,'Вихідні дані'!Z41)</f>
        <v>0</v>
      </c>
      <c r="T2" s="84">
        <f>IF('Вихідні дані'!AA41="",0,'Вихідні дані'!AA41)</f>
        <v>0</v>
      </c>
      <c r="U2" s="84">
        <f>IF('Вихідні дані'!AB41="",0,'Вихідні дані'!AB41)</f>
        <v>0</v>
      </c>
      <c r="V2" s="84">
        <f>IF('Вихідні дані'!AC41="",0,'Вихідні дані'!AC41)</f>
        <v>0</v>
      </c>
      <c r="W2" s="84">
        <f>IF('Вихідні дані'!AD41="",0,'Вихідні дані'!AD41)</f>
        <v>0</v>
      </c>
      <c r="X2" s="84">
        <f>IF('Вихідні дані'!AE41="",0,'Вихідні дані'!AE41)</f>
        <v>0</v>
      </c>
      <c r="Y2" s="84">
        <f>IF('Вихідні дані'!AF41="",0,'Вихідні дані'!AF41)</f>
        <v>0</v>
      </c>
      <c r="Z2" s="84">
        <f>IF('Вихідні дані'!AG41="",0,'Вихідні дані'!AG41)</f>
        <v>0</v>
      </c>
      <c r="AA2" s="84">
        <f>IF('Вихідні дані'!AH41="",0,'Вихідні дані'!AH41)</f>
        <v>0</v>
      </c>
      <c r="AB2" s="84">
        <f>IF('Вихідні дані'!AI41="",0,'Вихідні дані'!AI41)</f>
        <v>0</v>
      </c>
      <c r="AC2" s="84">
        <f>IF('Вихідні дані'!AJ41="",0,'Вихідні дані'!AJ41)</f>
        <v>0</v>
      </c>
      <c r="AD2" s="84">
        <f>IF('Вихідні дані'!AK41="",0,'Вихідні дані'!AK41)</f>
        <v>0</v>
      </c>
      <c r="AE2" s="84">
        <f>IF('Вихідні дані'!AL41="",0,'Вихідні дані'!AL41)</f>
        <v>0</v>
      </c>
      <c r="AF2" s="84">
        <f>IF('Вихідні дані'!AM41="",0,'Вихідні дані'!AM41)</f>
        <v>0</v>
      </c>
      <c r="AG2" s="84">
        <f>IF('Вихідні дані'!AN41="",0,'Вихідні дані'!AN41)</f>
        <v>0</v>
      </c>
      <c r="AH2" s="84">
        <f>IF('Вихідні дані'!AO41="",0,'Вихідні дані'!AO41)</f>
        <v>0</v>
      </c>
      <c r="AI2" s="84">
        <f>IF('Вихідні дані'!AP41="",0,'Вихідні дані'!AP41)</f>
        <v>0</v>
      </c>
      <c r="AJ2" s="84">
        <f>IF('Вихідні дані'!AQ41="",0,'Вихідні дані'!AQ41)</f>
        <v>0</v>
      </c>
      <c r="AK2" s="84">
        <f>IF('Вихідні дані'!AR41="",0,'Вихідні дані'!AR41)</f>
        <v>0</v>
      </c>
      <c r="AL2" s="84">
        <f>IF('Вихідні дані'!AS41="",0,'Вихідні дані'!AS41)</f>
        <v>0</v>
      </c>
      <c r="AM2" s="84">
        <f>IF('Вихідні дані'!AT41="",0,'Вихідні дані'!AT41)</f>
        <v>0</v>
      </c>
      <c r="AN2" s="84">
        <f>IF('Вихідні дані'!AU41="",0,'Вихідні дані'!AU41)</f>
        <v>0</v>
      </c>
      <c r="AO2" s="84">
        <f>IF('Вихідні дані'!AV41="",0,'Вихідні дані'!AV41)</f>
        <v>0</v>
      </c>
    </row>
    <row r="3" spans="1:61" s="85" customFormat="1" ht="18.75" customHeight="1" x14ac:dyDescent="0.25">
      <c r="A3" s="85" t="s">
        <v>54</v>
      </c>
      <c r="B3" s="85">
        <f>'Вихідні дані'!I42</f>
        <v>201</v>
      </c>
      <c r="C3" s="85">
        <f>'Вихідні дані'!J42</f>
        <v>202</v>
      </c>
      <c r="D3" s="85">
        <f>'Вихідні дані'!K42</f>
        <v>203</v>
      </c>
      <c r="E3" s="85">
        <f>'Вихідні дані'!L42</f>
        <v>204</v>
      </c>
      <c r="F3" s="85">
        <f>'Вихідні дані'!M42</f>
        <v>205</v>
      </c>
      <c r="G3" s="85">
        <f>'Вихідні дані'!N42</f>
        <v>206</v>
      </c>
      <c r="H3" s="85">
        <f>'Вихідні дані'!O42</f>
        <v>207</v>
      </c>
      <c r="I3" s="85">
        <f>'Вихідні дані'!P42</f>
        <v>208</v>
      </c>
      <c r="J3" s="85">
        <f>'Вихідні дані'!Q42</f>
        <v>209</v>
      </c>
      <c r="K3" s="85" t="str">
        <f>'Вихідні дані'!R42</f>
        <v/>
      </c>
      <c r="L3" s="85" t="str">
        <f>'Вихідні дані'!S42</f>
        <v/>
      </c>
      <c r="M3" s="85" t="str">
        <f>'Вихідні дані'!T42</f>
        <v/>
      </c>
      <c r="N3" s="85" t="str">
        <f>'Вихідні дані'!U42</f>
        <v/>
      </c>
      <c r="O3" s="85" t="str">
        <f>'Вихідні дані'!V42</f>
        <v/>
      </c>
      <c r="P3" s="85" t="str">
        <f>'Вихідні дані'!W42</f>
        <v/>
      </c>
      <c r="Q3" s="85" t="str">
        <f>'Вихідні дані'!X42</f>
        <v/>
      </c>
      <c r="R3" s="85" t="str">
        <f>'Вихідні дані'!Y42</f>
        <v/>
      </c>
      <c r="S3" s="85" t="str">
        <f>'Вихідні дані'!Z42</f>
        <v/>
      </c>
      <c r="T3" s="85" t="str">
        <f>'Вихідні дані'!AA42</f>
        <v/>
      </c>
      <c r="U3" s="85" t="str">
        <f>'Вихідні дані'!AB42</f>
        <v/>
      </c>
      <c r="V3" s="85" t="str">
        <f>'Вихідні дані'!AC42</f>
        <v/>
      </c>
      <c r="W3" s="85" t="str">
        <f>'Вихідні дані'!AD42</f>
        <v/>
      </c>
      <c r="X3" s="85" t="str">
        <f>'Вихідні дані'!AE42</f>
        <v/>
      </c>
      <c r="Y3" s="85" t="str">
        <f>'Вихідні дані'!AF42</f>
        <v/>
      </c>
      <c r="Z3" s="85" t="str">
        <f>'Вихідні дані'!AG42</f>
        <v/>
      </c>
      <c r="AA3" s="85" t="str">
        <f>'Вихідні дані'!AH42</f>
        <v/>
      </c>
      <c r="AB3" s="85" t="str">
        <f>'Вихідні дані'!AI42</f>
        <v/>
      </c>
      <c r="AC3" s="85" t="str">
        <f>'Вихідні дані'!AJ42</f>
        <v/>
      </c>
      <c r="AD3" s="85" t="str">
        <f>'Вихідні дані'!AK42</f>
        <v/>
      </c>
      <c r="AE3" s="85" t="str">
        <f>'Вихідні дані'!AL42</f>
        <v/>
      </c>
      <c r="AF3" s="85" t="str">
        <f>'Вихідні дані'!AM42</f>
        <v/>
      </c>
      <c r="AG3" s="85" t="str">
        <f>'Вихідні дані'!AN42</f>
        <v/>
      </c>
      <c r="AH3" s="85" t="str">
        <f>'Вихідні дані'!AO42</f>
        <v/>
      </c>
      <c r="AI3" s="85" t="str">
        <f>'Вихідні дані'!AP42</f>
        <v/>
      </c>
      <c r="AJ3" s="85" t="str">
        <f>'Вихідні дані'!AQ42</f>
        <v/>
      </c>
      <c r="AK3" s="85" t="str">
        <f>'Вихідні дані'!AR42</f>
        <v/>
      </c>
      <c r="AL3" s="85" t="str">
        <f>'Вихідні дані'!AS42</f>
        <v/>
      </c>
      <c r="AM3" s="85" t="str">
        <f>'Вихідні дані'!AT42</f>
        <v/>
      </c>
      <c r="AN3" s="85" t="str">
        <f>'Вихідні дані'!AU42</f>
        <v/>
      </c>
      <c r="AO3" s="85" t="str">
        <f>'Вихідні дані'!AV42</f>
        <v/>
      </c>
      <c r="AP3" s="85" t="str">
        <f>'Вихідні дані'!AW11</f>
        <v/>
      </c>
      <c r="AQ3" s="85" t="str">
        <f>'Вихідні дані'!AX11</f>
        <v/>
      </c>
      <c r="AR3" s="85" t="str">
        <f>'Вихідні дані'!AY11</f>
        <v/>
      </c>
      <c r="AS3" s="85" t="str">
        <f>'Вихідні дані'!AZ11</f>
        <v/>
      </c>
      <c r="AT3" s="85" t="str">
        <f>'Вихідні дані'!BA11</f>
        <v/>
      </c>
      <c r="AU3" s="85" t="str">
        <f>'Вихідні дані'!BB11</f>
        <v/>
      </c>
      <c r="AV3" s="85" t="str">
        <f>'Вихідні дані'!BC11</f>
        <v/>
      </c>
      <c r="AW3" s="85" t="str">
        <f>'Вихідні дані'!BD11</f>
        <v/>
      </c>
      <c r="AX3" s="85" t="str">
        <f>'Вихідні дані'!BE11</f>
        <v/>
      </c>
      <c r="AY3" s="85" t="str">
        <f>'Вихідні дані'!BF11</f>
        <v/>
      </c>
      <c r="AZ3" s="85" t="str">
        <f>'Вихідні дані'!BG11</f>
        <v/>
      </c>
      <c r="BA3" s="85" t="str">
        <f>'Вихідні дані'!BH11</f>
        <v/>
      </c>
      <c r="BB3" s="85" t="str">
        <f>'Вихідні дані'!BI11</f>
        <v/>
      </c>
      <c r="BC3" s="85" t="str">
        <f>'Вихідні дані'!BJ11</f>
        <v/>
      </c>
      <c r="BD3" s="85" t="str">
        <f>'Вихідні дані'!BK11</f>
        <v/>
      </c>
      <c r="BE3" s="85" t="str">
        <f>'Вихідні дані'!BL11</f>
        <v/>
      </c>
      <c r="BF3" s="85" t="str">
        <f>'Вихідні дані'!BM11</f>
        <v/>
      </c>
      <c r="BG3" s="85" t="str">
        <f>'Вихідні дані'!BN11</f>
        <v/>
      </c>
      <c r="BH3" s="85" t="str">
        <f>'Вихідні дані'!BO11</f>
        <v/>
      </c>
      <c r="BI3" s="85" t="str">
        <f>'Вихідні дані'!BP11</f>
        <v/>
      </c>
    </row>
    <row r="4" spans="1:61" ht="60" customHeight="1" x14ac:dyDescent="0.3">
      <c r="A4" s="86"/>
    </row>
    <row r="5" spans="1:61" s="84" customFormat="1" ht="5.0999999999999996" customHeight="1" x14ac:dyDescent="0.3">
      <c r="B5" s="84">
        <f>'Вихідні дані'!I40</f>
        <v>1</v>
      </c>
      <c r="C5" s="84">
        <f>'Вихідні дані'!J40</f>
        <v>1</v>
      </c>
      <c r="D5" s="84">
        <f>'Вихідні дані'!K40</f>
        <v>1</v>
      </c>
      <c r="E5" s="84">
        <f>'Вихідні дані'!L40</f>
        <v>1</v>
      </c>
      <c r="F5" s="84">
        <f>'Вихідні дані'!M40</f>
        <v>1</v>
      </c>
      <c r="G5" s="84">
        <f>'Вихідні дані'!N40</f>
        <v>1</v>
      </c>
      <c r="H5" s="84">
        <f>'Вихідні дані'!O40</f>
        <v>1</v>
      </c>
      <c r="I5" s="84">
        <f>'Вихідні дані'!P40</f>
        <v>1</v>
      </c>
      <c r="J5" s="84">
        <f>'Вихідні дані'!Q40</f>
        <v>1</v>
      </c>
      <c r="K5" s="84" t="e">
        <f>'Вихідні дані'!R40</f>
        <v>#N/A</v>
      </c>
      <c r="L5" s="84" t="e">
        <f>'Вихідні дані'!S40</f>
        <v>#N/A</v>
      </c>
      <c r="M5" s="84" t="e">
        <f>'Вихідні дані'!T40</f>
        <v>#N/A</v>
      </c>
      <c r="N5" s="84" t="e">
        <f>'Вихідні дані'!U40</f>
        <v>#N/A</v>
      </c>
      <c r="O5" s="84" t="e">
        <f>'Вихідні дані'!V40</f>
        <v>#N/A</v>
      </c>
      <c r="P5" s="84" t="e">
        <f>'Вихідні дані'!W40</f>
        <v>#N/A</v>
      </c>
      <c r="Q5" s="84" t="e">
        <f>'Вихідні дані'!X40</f>
        <v>#N/A</v>
      </c>
      <c r="R5" s="84" t="e">
        <f>'Вихідні дані'!Y40</f>
        <v>#N/A</v>
      </c>
      <c r="S5" s="84" t="e">
        <f>'Вихідні дані'!Z40</f>
        <v>#N/A</v>
      </c>
      <c r="T5" s="84" t="e">
        <f>'Вихідні дані'!AA40</f>
        <v>#N/A</v>
      </c>
      <c r="U5" s="84" t="e">
        <f>'Вихідні дані'!AB40</f>
        <v>#N/A</v>
      </c>
      <c r="V5" s="84" t="e">
        <f>'Вихідні дані'!AC40</f>
        <v>#N/A</v>
      </c>
      <c r="W5" s="84" t="e">
        <f>'Вихідні дані'!AD40</f>
        <v>#N/A</v>
      </c>
      <c r="X5" s="84" t="e">
        <f>'Вихідні дані'!AE40</f>
        <v>#N/A</v>
      </c>
      <c r="Y5" s="84" t="e">
        <f>'Вихідні дані'!AF40</f>
        <v>#N/A</v>
      </c>
      <c r="Z5" s="84" t="e">
        <f>'Вихідні дані'!AG40</f>
        <v>#N/A</v>
      </c>
      <c r="AA5" s="84" t="e">
        <f>'Вихідні дані'!AH40</f>
        <v>#N/A</v>
      </c>
      <c r="AB5" s="84" t="e">
        <f>'Вихідні дані'!AI40</f>
        <v>#N/A</v>
      </c>
      <c r="AC5" s="84" t="e">
        <f>'Вихідні дані'!AJ40</f>
        <v>#N/A</v>
      </c>
      <c r="AD5" s="84" t="e">
        <f>'Вихідні дані'!AK40</f>
        <v>#N/A</v>
      </c>
      <c r="AE5" s="84" t="e">
        <f>'Вихідні дані'!AL40</f>
        <v>#N/A</v>
      </c>
      <c r="AF5" s="84" t="e">
        <f>'Вихідні дані'!AM40</f>
        <v>#N/A</v>
      </c>
      <c r="AG5" s="84" t="e">
        <f>'Вихідні дані'!AN40</f>
        <v>#N/A</v>
      </c>
      <c r="AH5" s="84" t="e">
        <f>'Вихідні дані'!AO40</f>
        <v>#N/A</v>
      </c>
      <c r="AI5" s="84" t="e">
        <f>'Вихідні дані'!AP40</f>
        <v>#N/A</v>
      </c>
      <c r="AJ5" s="84" t="e">
        <f>'Вихідні дані'!AQ40</f>
        <v>#N/A</v>
      </c>
      <c r="AK5" s="84" t="e">
        <f>'Вихідні дані'!AR40</f>
        <v>#N/A</v>
      </c>
      <c r="AL5" s="84" t="e">
        <f>'Вихідні дані'!AS40</f>
        <v>#N/A</v>
      </c>
      <c r="AM5" s="84" t="e">
        <f>'Вихідні дані'!AT40</f>
        <v>#N/A</v>
      </c>
      <c r="AN5" s="84" t="e">
        <f>'Вихідні дані'!AU40</f>
        <v>#N/A</v>
      </c>
      <c r="AO5" s="84" t="e">
        <f>'Вихідні дані'!AV40</f>
        <v>#N/A</v>
      </c>
    </row>
    <row r="7" spans="1:61" x14ac:dyDescent="0.3">
      <c r="A7" s="87" t="str">
        <f>IF('Вихідні дані'!C109&gt;0,Каталог!B9," ")</f>
        <v xml:space="preserve"> </v>
      </c>
    </row>
    <row r="14" spans="1:61" ht="80.099999999999994" customHeight="1" x14ac:dyDescent="0.3"/>
    <row r="16" spans="1:61" ht="30.75" customHeight="1" x14ac:dyDescent="0.3">
      <c r="B16" s="167" t="str">
        <f>IF('Вихідні дані'!C102&gt;0,IF('Вихідні дані'!C3="Дротова",Каталог!B19,Каталог!B3)," ")</f>
        <v>Uponor Smatrix Base Pulse 
Контролер X-245 6X</v>
      </c>
      <c r="C16" s="167"/>
      <c r="D16" s="167"/>
      <c r="E16" s="167"/>
      <c r="F16" s="165" t="str">
        <f>IF('Вихідні дані'!C103&gt;0,IF('Вихідні дані'!C3="Дротова",Каталог!B20,Каталог!B4)," ")</f>
        <v>Uponor Smatrix Base Pulse 
Модуль розширення M-242 BUS 6X</v>
      </c>
      <c r="G16" s="165"/>
      <c r="H16" s="165"/>
      <c r="J16" s="168" t="str">
        <f>IF('Вихідні дані'!$C$102&gt;1,IF('Вихідні дані'!$C$3="Дротова",Каталог!$B$19,Каталог!$B$3)," ")</f>
        <v xml:space="preserve"> </v>
      </c>
      <c r="K16" s="168"/>
      <c r="L16" s="168"/>
      <c r="M16" s="168"/>
      <c r="N16" s="164" t="str">
        <f>IF('Вихідні дані'!$C$103&gt;1,IF('Вихідні дані'!$C$3="Дротова",Каталог!$B$20,Каталог!$B$4)," ")</f>
        <v xml:space="preserve"> </v>
      </c>
      <c r="O16" s="164"/>
      <c r="P16" s="164"/>
      <c r="R16" s="168" t="str">
        <f>IF('Вихідні дані'!$C$102&gt;2,IF('Вихідні дані'!$C$3="Дротова",Каталог!$B$19,Каталог!$B$3)," ")</f>
        <v xml:space="preserve"> </v>
      </c>
      <c r="S16" s="168"/>
      <c r="T16" s="168"/>
      <c r="U16" s="168"/>
      <c r="V16" s="164" t="str">
        <f>IF('Вихідні дані'!$C$103&gt;2,IF('Вихідні дані'!$C$3="Дротова",Каталог!$B$20,Каталог!$B$4)," ")</f>
        <v xml:space="preserve"> </v>
      </c>
      <c r="W16" s="164"/>
      <c r="X16" s="164"/>
      <c r="Z16" s="167" t="str">
        <f>IF('Вихідні дані'!$C$102&gt;3,IF('Вихідні дані'!$C$3="Дротова",Каталог!$B$19,Каталог!$B$3)," ")</f>
        <v xml:space="preserve"> </v>
      </c>
      <c r="AA16" s="167"/>
      <c r="AB16" s="167"/>
      <c r="AC16" s="167"/>
      <c r="AD16" s="165" t="str">
        <f>IF('Вихідні дані'!$C$103&gt;3,IF('Вихідні дані'!$C$3="Дротова",Каталог!$B$20,Каталог!$B$4)," ")</f>
        <v xml:space="preserve"> </v>
      </c>
      <c r="AE16" s="165"/>
      <c r="AF16" s="165"/>
    </row>
    <row r="25" spans="1:30" ht="120" customHeight="1" x14ac:dyDescent="0.3">
      <c r="A25" s="88" t="str">
        <f>IF('Вихідні дані'!B69=0," ",Каталог!B16)</f>
        <v xml:space="preserve"> </v>
      </c>
      <c r="K25" s="88" t="str">
        <f>IF('Вихідні дані'!B69=2,Каталог!B16," ")</f>
        <v xml:space="preserve"> </v>
      </c>
      <c r="U25" s="88" t="str">
        <f>IF('Вихідні дані'!D69=0," ",Каталог!B16)</f>
        <v xml:space="preserve"> </v>
      </c>
    </row>
    <row r="27" spans="1:30" s="89" customFormat="1" ht="13.5" x14ac:dyDescent="0.25">
      <c r="B27" s="89" t="str">
        <f>IF('Вихідні дані'!A66=0," ","Uponor Vario PLUS Модульний пласт. колектор FM "&amp;'Вихідні дані'!A66&amp;" вих.")</f>
        <v>Uponor Vario PLUS Модульний пласт. колектор FM 12 вих.</v>
      </c>
      <c r="G27" s="89" t="str">
        <f>IF('Вихідні дані'!C64=0," ","Uponor Vario PLUS Модульний пласт. колектор FM "&amp;'Вихідні дані'!A67&amp;" вих.")</f>
        <v xml:space="preserve"> </v>
      </c>
      <c r="L27" s="89" t="str">
        <f>IF('Вихідні дані'!B64-'Вихідні дані'!A66=0," ","Uponor Vario PLUS Модульний пласт. колектор FM "&amp;'Вихідні дані'!B64-'Вихідні дані'!A66&amp;" вих.")</f>
        <v xml:space="preserve"> </v>
      </c>
      <c r="Q27" s="89" t="str">
        <f>IF('Вихідні дані'!C64-'Вихідні дані'!A67=0," ","Uponor Vario PLUS Модульний пласт. колектор FM "&amp;'Вихідні дані'!C64-'Вихідні дані'!A67&amp;" вих.")</f>
        <v xml:space="preserve"> </v>
      </c>
      <c r="V27" s="89" t="str">
        <f>IF('Вихідні дані'!D64=0," ","Uponor Vario PLUS Модульний пласт. колектор FM "&amp;'Вихідні дані'!D64&amp;" вих.")</f>
        <v xml:space="preserve"> </v>
      </c>
      <c r="AA27" s="89" t="str">
        <f>IF('Вихідні дані'!E64=0," ","Uponor Vario PLUS Модульний пласт. колектор FM "&amp;'Вихідні дані'!E64&amp;" вих.")</f>
        <v xml:space="preserve"> </v>
      </c>
    </row>
    <row r="28" spans="1:30" x14ac:dyDescent="0.3">
      <c r="B28" s="166" t="str">
        <f>IF(B27=" "," ","ПІДЛОГА 1")</f>
        <v>ПІДЛОГА 1</v>
      </c>
      <c r="C28" s="166"/>
      <c r="D28" s="166"/>
      <c r="E28" s="166"/>
      <c r="G28" s="166" t="str">
        <f>IF(G27=" "," ","СТІНА/СТЕЛЯ 1")</f>
        <v xml:space="preserve"> </v>
      </c>
      <c r="H28" s="166"/>
      <c r="I28" s="166"/>
      <c r="J28" s="166"/>
      <c r="L28" s="166" t="str">
        <f>IF(L27=" "," ","ПІДЛОГА 2")</f>
        <v xml:space="preserve"> </v>
      </c>
      <c r="M28" s="166"/>
      <c r="N28" s="166"/>
      <c r="O28" s="166"/>
      <c r="Q28" s="166" t="str">
        <f>IF(Q27=" "," ","СТІНА/СТЕЛЯ 2")</f>
        <v xml:space="preserve"> </v>
      </c>
      <c r="R28" s="166"/>
      <c r="S28" s="166"/>
      <c r="T28" s="166"/>
      <c r="V28" s="166" t="str">
        <f>IF(V27=" "," ","РАДІАТОРИ/КОНВЕКТОРИ")</f>
        <v xml:space="preserve"> </v>
      </c>
      <c r="W28" s="166"/>
      <c r="X28" s="166"/>
      <c r="Y28" s="166"/>
      <c r="AA28" s="166" t="str">
        <f>IF(AA27=" "," ","ФАНКОЙЛИ")</f>
        <v xml:space="preserve"> </v>
      </c>
      <c r="AB28" s="166"/>
      <c r="AC28" s="166"/>
      <c r="AD28" s="166"/>
    </row>
  </sheetData>
  <sheetProtection algorithmName="SHA-512" hashValue="MzUJ3plhtx5bxhwR4AHgGHiNWHTcSqVeSG/rFeoW0/Dxu+s2QAS/2G+mS71pVp7svTguOHxPnsE+147EXZIfEQ==" saltValue="haAFCeWN/4yLF69TOQtuHg==" spinCount="100000" sheet="1" objects="1" scenarios="1"/>
  <mergeCells count="14">
    <mergeCell ref="Z16:AC16"/>
    <mergeCell ref="AD16:AF16"/>
    <mergeCell ref="B28:E28"/>
    <mergeCell ref="G28:J28"/>
    <mergeCell ref="L28:O28"/>
    <mergeCell ref="Q28:T28"/>
    <mergeCell ref="V28:Y28"/>
    <mergeCell ref="AA28:AD28"/>
    <mergeCell ref="B16:E16"/>
    <mergeCell ref="F16:H16"/>
    <mergeCell ref="J16:M16"/>
    <mergeCell ref="N16:P16"/>
    <mergeCell ref="R16:U16"/>
    <mergeCell ref="V16:X16"/>
  </mergeCells>
  <conditionalFormatting sqref="A5:XFD5">
    <cfRule type="cellIs" dxfId="158" priority="51" operator="equal">
      <formula>4</formula>
    </cfRule>
    <cfRule type="cellIs" dxfId="157" priority="52" operator="equal">
      <formula>3</formula>
    </cfRule>
    <cfRule type="cellIs" dxfId="156" priority="53" operator="equal">
      <formula>1</formula>
    </cfRule>
    <cfRule type="cellIs" dxfId="155" priority="54" operator="equal">
      <formula>2</formula>
    </cfRule>
  </conditionalFormatting>
  <conditionalFormatting sqref="B16:H16">
    <cfRule type="cellIs" dxfId="154" priority="50" operator="notEqual">
      <formula>" "</formula>
    </cfRule>
  </conditionalFormatting>
  <conditionalFormatting sqref="J16:P16">
    <cfRule type="cellIs" dxfId="153" priority="49" operator="notEqual">
      <formula>" "</formula>
    </cfRule>
  </conditionalFormatting>
  <conditionalFormatting sqref="R16:X16">
    <cfRule type="cellIs" dxfId="152" priority="48" operator="notEqual">
      <formula>" "</formula>
    </cfRule>
  </conditionalFormatting>
  <conditionalFormatting sqref="Z16:AF16">
    <cfRule type="cellIs" dxfId="151" priority="24" operator="notEqual">
      <formula>" "</formula>
    </cfRule>
  </conditionalFormatting>
  <conditionalFormatting sqref="A13:A14 E14">
    <cfRule type="expression" dxfId="150" priority="2">
      <formula>$A$7&lt;&gt;" "</formula>
    </cfRule>
  </conditionalFormatting>
  <conditionalFormatting sqref="B15:E15">
    <cfRule type="expression" dxfId="149" priority="1">
      <formula>$A$7&lt;&gt;" "</formula>
    </cfRule>
  </conditionalFormatting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4" id="{4B4106EB-333D-4480-A447-4D5FC382E640}">
            <xm:f>SUM('Вихідні дані'!$B$66:$E$66)&gt;0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K17:K22</xm:sqref>
        </x14:conditionalFormatting>
        <x14:conditionalFormatting xmlns:xm="http://schemas.microsoft.com/office/excel/2006/main">
          <x14:cfRule type="expression" priority="43" id="{B1BBC700-9442-464C-AFD2-686B2EC6FFE0}">
            <xm:f>SUM('Вихідні дані'!$B$67:$E$67)&gt;0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S17:S21</xm:sqref>
        </x14:conditionalFormatting>
        <x14:conditionalFormatting xmlns:xm="http://schemas.microsoft.com/office/excel/2006/main">
          <x14:cfRule type="expression" priority="55" id="{5729622B-962A-4CC4-8460-188EFA693D4F}">
            <xm:f>SUM('Вихідні дані'!$B$65:$E$65)&gt;0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C17:C23</xm:sqref>
        </x14:conditionalFormatting>
        <x14:conditionalFormatting xmlns:xm="http://schemas.microsoft.com/office/excel/2006/main">
          <x14:cfRule type="expression" priority="46" id="{CA1FCDBF-9E39-4D9D-9FD6-B86DDDB1FD2E}">
            <xm:f>AND('Вихідні дані'!$B$64-'Вихідні дані'!$A$66&gt;0,'Вихідні дані'!$B$66&gt;0)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M23:M24</xm:sqref>
        </x14:conditionalFormatting>
        <x14:conditionalFormatting xmlns:xm="http://schemas.microsoft.com/office/excel/2006/main">
          <x14:cfRule type="expression" priority="45" id="{CA815E79-1D31-442F-8A9E-548010134C6D}">
            <xm:f>'Вихідні дані'!$A$66&gt;'Вихідні дані'!$B$65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D23:J23</xm:sqref>
        </x14:conditionalFormatting>
        <x14:conditionalFormatting xmlns:xm="http://schemas.microsoft.com/office/excel/2006/main">
          <x14:cfRule type="expression" priority="41" id="{B8108E35-564F-4EC8-BCBC-885326178717}">
            <xm:f>AND('Вихідні дані'!$B$66&gt;0,'Вихідні дані'!$A$66='Вихідні дані'!$B$64)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D23:D24</xm:sqref>
        </x14:conditionalFormatting>
        <x14:conditionalFormatting xmlns:xm="http://schemas.microsoft.com/office/excel/2006/main">
          <x14:cfRule type="expression" priority="42" id="{DB76020E-4982-4939-9E8F-36BF0CDAFB0B}">
            <xm:f>'Вихідні дані'!$B$65&gt;0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C24</xm:sqref>
        </x14:conditionalFormatting>
        <x14:conditionalFormatting xmlns:xm="http://schemas.microsoft.com/office/excel/2006/main">
          <x14:cfRule type="expression" priority="40" id="{C6BC8866-F601-4296-911F-1EF7F3F5343E}">
            <xm:f>AND('Вихідні дані'!$B$64-'Вихідні дані'!$A$66&gt;0,'Вихідні дані'!$B$66&gt;0)</xm:f>
            <x14:dxf>
              <border>
                <bottom style="thin">
                  <color rgb="FFFFA300"/>
                </bottom>
                <vertical/>
                <horizontal/>
              </border>
            </x14:dxf>
          </x14:cfRule>
          <xm:sqref>K22:L22</xm:sqref>
        </x14:conditionalFormatting>
        <x14:conditionalFormatting xmlns:xm="http://schemas.microsoft.com/office/excel/2006/main">
          <x14:cfRule type="expression" priority="39" id="{1F86BA85-0A32-4AF2-BED6-DFC092E16C72}">
            <xm:f>'Вихідні дані'!$C$65&gt;0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G24</xm:sqref>
        </x14:conditionalFormatting>
        <x14:conditionalFormatting xmlns:xm="http://schemas.microsoft.com/office/excel/2006/main">
          <x14:cfRule type="expression" priority="38" id="{3FA10E07-E787-4B9D-8783-3E6F18A48F98}">
            <xm:f>AND('Вихідні дані'!$B$64-'Вихідні дані'!$A$66&gt;0,'Вихідні дані'!$B$67&gt;0)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N22:N24</xm:sqref>
        </x14:conditionalFormatting>
        <x14:conditionalFormatting xmlns:xm="http://schemas.microsoft.com/office/excel/2006/main">
          <x14:cfRule type="expression" priority="37" id="{A97E9D1D-78A7-43C8-9B2B-49CA7C3DFA1E}">
            <xm:f>AND('Вихідні дані'!$B$64-'Вихідні дані'!$A$66&gt;0,'Вихідні дані'!$B$67&gt;0)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N22:R22</xm:sqref>
        </x14:conditionalFormatting>
        <x14:conditionalFormatting xmlns:xm="http://schemas.microsoft.com/office/excel/2006/main">
          <x14:cfRule type="expression" priority="36" id="{8D70CB7C-F75F-43F2-B978-11E903584254}">
            <xm:f>AND('Вихідні дані'!$C$66&gt;0,'Вихідні дані'!$C$64='Вихідні дані'!$A$67)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H23:H24</xm:sqref>
        </x14:conditionalFormatting>
        <x14:conditionalFormatting xmlns:xm="http://schemas.microsoft.com/office/excel/2006/main">
          <x14:cfRule type="expression" priority="35" id="{D4CF9E5B-8B6A-42D6-A214-9894F48B857C}">
            <xm:f>AND('Вихідні дані'!$C$66&gt;0,'Вихідні дані'!$C$64='Вихідні дані'!$A$67)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H23:J23</xm:sqref>
        </x14:conditionalFormatting>
        <x14:conditionalFormatting xmlns:xm="http://schemas.microsoft.com/office/excel/2006/main">
          <x14:cfRule type="expression" priority="34" id="{04F73F49-B5E4-46A2-B868-0EE3CBEAEBE9}">
            <xm:f>AND('Вихідні дані'!$C$67&gt;0,'Вихідні дані'!$C$64='Вихідні дані'!$A$67)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I22:I24</xm:sqref>
        </x14:conditionalFormatting>
        <x14:conditionalFormatting xmlns:xm="http://schemas.microsoft.com/office/excel/2006/main">
          <x14:cfRule type="expression" priority="33" id="{77945B9D-CBB6-453C-AB08-372E14A98E9A}">
            <xm:f>AND('Вихідні дані'!$C$67&gt;0,'Вихідні дані'!$C$64='Вихідні дані'!$A$67)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I22:R22</xm:sqref>
        </x14:conditionalFormatting>
        <x14:conditionalFormatting xmlns:xm="http://schemas.microsoft.com/office/excel/2006/main">
          <x14:cfRule type="expression" priority="32" id="{36E16FED-7C22-470C-BC85-3486A5F25E2B}">
            <xm:f>AND('Вихідні дані'!$B$64&gt;'Вихідні дані'!$A$66,'Вихідні дані'!$B$68&gt;0)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O21:O24</xm:sqref>
        </x14:conditionalFormatting>
        <x14:conditionalFormatting xmlns:xm="http://schemas.microsoft.com/office/excel/2006/main">
          <x14:cfRule type="expression" priority="31" id="{CBE9E1B9-776C-4A58-9DBA-B5A078A7DDC3}">
            <xm:f>AND('Вихідні дані'!$B$67&gt;0,'Вихідні дані'!$A$66='Вихідні дані'!$B$64)</xm:f>
            <x14:dxf>
              <border>
                <left style="thin">
                  <color rgb="FF8CD600"/>
                </left>
                <right/>
                <vertical/>
                <horizontal/>
              </border>
            </x14:dxf>
          </x14:cfRule>
          <xm:sqref>E22:E24</xm:sqref>
        </x14:conditionalFormatting>
        <x14:conditionalFormatting xmlns:xm="http://schemas.microsoft.com/office/excel/2006/main">
          <x14:cfRule type="expression" priority="30" id="{A85E5354-C015-4D8F-85AA-E604484FBD4B}">
            <xm:f>AND('Вихідні дані'!$B$67&gt;0,'Вихідні дані'!$A$66='Вихідні дані'!$B$64)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E22:R22</xm:sqref>
        </x14:conditionalFormatting>
        <x14:conditionalFormatting xmlns:xm="http://schemas.microsoft.com/office/excel/2006/main">
          <x14:cfRule type="expression" priority="29" id="{0C74F5F0-76C4-4091-8C08-45393973B9CC}">
            <xm:f>'Вихідні дані'!$C$65&gt;0</xm:f>
            <x14:dxf>
              <border>
                <top style="thin">
                  <color rgb="FF203764"/>
                </top>
                <vertical/>
                <horizontal/>
              </border>
            </x14:dxf>
          </x14:cfRule>
          <xm:sqref>C24:F24</xm:sqref>
        </x14:conditionalFormatting>
        <x14:conditionalFormatting xmlns:xm="http://schemas.microsoft.com/office/excel/2006/main">
          <x14:cfRule type="expression" priority="28" id="{0F88C223-2821-44AD-AA7A-DBF58F4ECC51}">
            <xm:f>AND('Вихідні дані'!$B$68&gt;0,'Вихідні дані'!$A$66='Вихідні дані'!$B$64)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F21:F24</xm:sqref>
        </x14:conditionalFormatting>
        <x14:conditionalFormatting xmlns:xm="http://schemas.microsoft.com/office/excel/2006/main">
          <x14:cfRule type="expression" priority="27" id="{EBF91D86-267F-4F55-9D8D-CEA6C466BBD8}">
            <xm:f>AND('Вихідні дані'!$B$68&gt;0,'Вихідні дані'!$A$66='Вихідні дані'!$B$64)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F21:Z21</xm:sqref>
        </x14:conditionalFormatting>
        <x14:conditionalFormatting xmlns:xm="http://schemas.microsoft.com/office/excel/2006/main">
          <x14:cfRule type="expression" priority="26" id="{0CC34BCD-C73A-499B-9562-1A3C144FD8FA}">
            <xm:f>AND('Вихідні дані'!$B$64&gt;'Вихідні дані'!$A$66,'Вихідні дані'!$B$68&gt;0)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O21:Z21</xm:sqref>
        </x14:conditionalFormatting>
        <x14:conditionalFormatting xmlns:xm="http://schemas.microsoft.com/office/excel/2006/main">
          <x14:cfRule type="expression" priority="25" id="{D78AC523-8E28-4DFE-9D0F-057A1CE5DBBB}">
            <xm:f>SUM('Вихідні дані'!$B$68:$E$68)&gt;0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AA17:AA20</xm:sqref>
        </x14:conditionalFormatting>
        <x14:conditionalFormatting xmlns:xm="http://schemas.microsoft.com/office/excel/2006/main">
          <x14:cfRule type="expression" priority="23" id="{7BEB0BC7-6303-49FC-BE8B-2F8D283ABBEA}">
            <xm:f>AND('Вихідні дані'!$C$65&gt;0,'Вихідні дані'!$C$65&gt;'Вихідні дані'!$A$67)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Q24</xm:sqref>
        </x14:conditionalFormatting>
        <x14:conditionalFormatting xmlns:xm="http://schemas.microsoft.com/office/excel/2006/main">
          <x14:cfRule type="expression" priority="22" id="{F9BB68F5-DB07-4114-B873-FDA9CCE16D9C}">
            <xm:f>AND('Вихідні дані'!$C$66&gt;0,'Вихідні дані'!$C$64&gt;'Вихідні дані'!$A$67)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R23:R24</xm:sqref>
        </x14:conditionalFormatting>
        <x14:conditionalFormatting xmlns:xm="http://schemas.microsoft.com/office/excel/2006/main">
          <x14:cfRule type="expression" priority="21" id="{B639E851-6A36-4D84-875D-24EFFB30457F}">
            <xm:f>AND('Вихідні дані'!$C$66&gt;0,'Вихідні дані'!$C$64&gt;'Вихідні дані'!$A$67)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K23:Q23</xm:sqref>
        </x14:conditionalFormatting>
        <x14:conditionalFormatting xmlns:xm="http://schemas.microsoft.com/office/excel/2006/main">
          <x14:cfRule type="expression" priority="20" id="{FCB4A5AD-D614-4618-9089-D2E0658CDFD1}">
            <xm:f>AND('Вихідні дані'!$C$67&gt;0,'Вихідні дані'!$C$64&gt;'Вихідні дані'!$A$67)</xm:f>
            <x14:dxf>
              <border>
                <left style="thin">
                  <color rgb="FF8CD600"/>
                </left>
              </border>
            </x14:dxf>
          </x14:cfRule>
          <xm:sqref>S22:S24</xm:sqref>
        </x14:conditionalFormatting>
        <x14:conditionalFormatting xmlns:xm="http://schemas.microsoft.com/office/excel/2006/main">
          <x14:cfRule type="expression" priority="19" id="{4F3F2E33-5084-4DB8-AFF0-25309754930A}">
            <xm:f>AND('Вихідні дані'!$C$68&gt;0,'Вихідні дані'!$C$64&gt;'Вихідні дані'!$A$67)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T21:T24</xm:sqref>
        </x14:conditionalFormatting>
        <x14:conditionalFormatting xmlns:xm="http://schemas.microsoft.com/office/excel/2006/main">
          <x14:cfRule type="expression" priority="18" id="{90F93064-5B58-4B74-B37B-8B4C8B01E35C}">
            <xm:f>'Вихідні дані'!$D$65&gt;0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V24</xm:sqref>
        </x14:conditionalFormatting>
        <x14:conditionalFormatting xmlns:xm="http://schemas.microsoft.com/office/excel/2006/main">
          <x14:cfRule type="expression" priority="17" id="{7AD5F8AB-CC6D-470F-8A33-1FB82D92D1CE}">
            <xm:f>'Вихідні дані'!$D$66&gt;0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W23:W24</xm:sqref>
        </x14:conditionalFormatting>
        <x14:conditionalFormatting xmlns:xm="http://schemas.microsoft.com/office/excel/2006/main">
          <x14:cfRule type="expression" priority="16" id="{B86B57CA-DF12-48AE-842C-0C6997C7BCF0}">
            <xm:f>'Вихідні дані'!$D$66&gt;0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K23:V23</xm:sqref>
        </x14:conditionalFormatting>
        <x14:conditionalFormatting xmlns:xm="http://schemas.microsoft.com/office/excel/2006/main">
          <x14:cfRule type="expression" priority="15" id="{5D8C6C48-8B5C-45F1-9911-9DA23D8BE879}">
            <xm:f>'Вихідні дані'!$D$65&gt;0</xm:f>
            <x14:dxf>
              <border>
                <top style="thin">
                  <color rgb="FF203764"/>
                </top>
              </border>
            </x14:dxf>
          </x14:cfRule>
          <xm:sqref>C24:U24</xm:sqref>
        </x14:conditionalFormatting>
        <x14:conditionalFormatting xmlns:xm="http://schemas.microsoft.com/office/excel/2006/main">
          <x14:cfRule type="expression" priority="14" id="{0E63126A-B287-4502-80BB-3571E80EE6F7}">
            <xm:f>'Вихідні дані'!$D$67&gt;0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X22:X24</xm:sqref>
        </x14:conditionalFormatting>
        <x14:conditionalFormatting xmlns:xm="http://schemas.microsoft.com/office/excel/2006/main">
          <x14:cfRule type="expression" priority="13" id="{A4C2386D-2390-4444-B169-D5A0311AEB89}">
            <xm:f>'Вихідні дані'!$D$67&gt;0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S22:W22</xm:sqref>
        </x14:conditionalFormatting>
        <x14:conditionalFormatting xmlns:xm="http://schemas.microsoft.com/office/excel/2006/main">
          <x14:cfRule type="expression" priority="12" id="{DE102C5F-50AC-40E5-B584-729A41136001}">
            <xm:f>'Вихідні дані'!$D$68&gt;0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Y21:Y24</xm:sqref>
        </x14:conditionalFormatting>
        <x14:conditionalFormatting xmlns:xm="http://schemas.microsoft.com/office/excel/2006/main">
          <x14:cfRule type="expression" priority="11" id="{4121B0B5-E024-4C1C-947D-4854ACA29810}">
            <xm:f>'Вихідні дані'!$D$68&gt;0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Y21:Z21</xm:sqref>
        </x14:conditionalFormatting>
        <x14:conditionalFormatting xmlns:xm="http://schemas.microsoft.com/office/excel/2006/main">
          <x14:cfRule type="expression" priority="10" id="{370D3C16-FD2B-4160-9A22-09A281A695A1}">
            <xm:f>'Вихідні дані'!$E$65&gt;0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AA24</xm:sqref>
        </x14:conditionalFormatting>
        <x14:conditionalFormatting xmlns:xm="http://schemas.microsoft.com/office/excel/2006/main">
          <x14:cfRule type="expression" priority="9" id="{3DADAA07-5D08-412E-A94F-05CBFEB3870F}">
            <xm:f>'Вихідні дані'!$E$65&gt;0</xm:f>
            <x14:dxf>
              <border>
                <top style="thin">
                  <color rgb="FF203764"/>
                </top>
                <vertical/>
                <horizontal/>
              </border>
            </x14:dxf>
          </x14:cfRule>
          <xm:sqref>C24:Z24</xm:sqref>
        </x14:conditionalFormatting>
        <x14:conditionalFormatting xmlns:xm="http://schemas.microsoft.com/office/excel/2006/main">
          <x14:cfRule type="expression" priority="8" id="{31604ED1-279A-4B3C-B049-BABCFC2B59D7}">
            <xm:f>'Вихідні дані'!$E$66&gt;0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AB23:AB24</xm:sqref>
        </x14:conditionalFormatting>
        <x14:conditionalFormatting xmlns:xm="http://schemas.microsoft.com/office/excel/2006/main">
          <x14:cfRule type="expression" priority="7" id="{3E33F792-E44F-4AA9-90B1-4E2F25DFC210}">
            <xm:f>'Вихідні дані'!$E$66&gt;0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K23:AA23</xm:sqref>
        </x14:conditionalFormatting>
        <x14:conditionalFormatting xmlns:xm="http://schemas.microsoft.com/office/excel/2006/main">
          <x14:cfRule type="expression" priority="6" id="{FA43BA5E-D5CF-4C37-9CA5-BBE270EE4158}">
            <xm:f>'Вихідні дані'!$E$67&gt;0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AC22:AC24</xm:sqref>
        </x14:conditionalFormatting>
        <x14:conditionalFormatting xmlns:xm="http://schemas.microsoft.com/office/excel/2006/main">
          <x14:cfRule type="expression" priority="5" id="{29961158-FB79-4415-8687-E8E0A3BEF088}">
            <xm:f>'Вихідні дані'!$E$67&gt;0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S22:AB22</xm:sqref>
        </x14:conditionalFormatting>
        <x14:conditionalFormatting xmlns:xm="http://schemas.microsoft.com/office/excel/2006/main">
          <x14:cfRule type="expression" priority="4" id="{2EDB0BAB-7AA1-4408-905E-F1285CD4BC33}">
            <xm:f>'Вихідні дані'!$E$68&gt;0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AD21:AD24</xm:sqref>
        </x14:conditionalFormatting>
        <x14:conditionalFormatting xmlns:xm="http://schemas.microsoft.com/office/excel/2006/main">
          <x14:cfRule type="expression" priority="3" id="{5641E7CA-5FFF-43C8-800F-817032C9A3C0}">
            <xm:f>'Вихідні дані'!$E$68&gt;0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AA21:AC21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62C8"/>
  </sheetPr>
  <dimension ref="A1:BI28"/>
  <sheetViews>
    <sheetView zoomScale="55" zoomScaleNormal="55" workbookViewId="0"/>
  </sheetViews>
  <sheetFormatPr defaultColWidth="9.140625" defaultRowHeight="16.5" x14ac:dyDescent="0.3"/>
  <cols>
    <col min="1" max="1" width="18.140625" style="87" customWidth="1"/>
    <col min="2" max="54" width="12.7109375" style="87" customWidth="1"/>
    <col min="55" max="16384" width="9.140625" style="87"/>
  </cols>
  <sheetData>
    <row r="1" spans="1:61" s="82" customFormat="1" ht="31.5" customHeight="1" x14ac:dyDescent="0.35">
      <c r="A1" s="81" t="s">
        <v>61</v>
      </c>
      <c r="C1" s="83" t="s">
        <v>56</v>
      </c>
    </row>
    <row r="2" spans="1:61" s="84" customFormat="1" x14ac:dyDescent="0.3">
      <c r="B2" s="84">
        <f>IF('Вихідні дані'!I72="",0,'Вихідні дані'!I72)</f>
        <v>0</v>
      </c>
      <c r="C2" s="84">
        <f>IF('Вихідні дані'!J72="",0,'Вихідні дані'!J72)</f>
        <v>0</v>
      </c>
      <c r="D2" s="84">
        <f>IF('Вихідні дані'!K72="",0,'Вихідні дані'!K72)</f>
        <v>0</v>
      </c>
      <c r="E2" s="84">
        <f>IF('Вихідні дані'!L72="",0,'Вихідні дані'!L72)</f>
        <v>0</v>
      </c>
      <c r="F2" s="84">
        <f>IF('Вихідні дані'!M72="",0,'Вихідні дані'!M72)</f>
        <v>0</v>
      </c>
      <c r="G2" s="84">
        <f>IF('Вихідні дані'!N72="",0,'Вихідні дані'!N72)</f>
        <v>0</v>
      </c>
      <c r="H2" s="84">
        <f>IF('Вихідні дані'!O72="",0,'Вихідні дані'!O72)</f>
        <v>0</v>
      </c>
      <c r="I2" s="84">
        <f>IF('Вихідні дані'!P72="",0,'Вихідні дані'!P72)</f>
        <v>0</v>
      </c>
      <c r="J2" s="84">
        <f>IF('Вихідні дані'!Q72="",0,'Вихідні дані'!Q72)</f>
        <v>0</v>
      </c>
      <c r="K2" s="84">
        <f>IF('Вихідні дані'!R72="",0,'Вихідні дані'!R72)</f>
        <v>0</v>
      </c>
      <c r="L2" s="84">
        <f>IF('Вихідні дані'!S72="",0,'Вихідні дані'!S72)</f>
        <v>0</v>
      </c>
      <c r="M2" s="84">
        <f>IF('Вихідні дані'!T72="",0,'Вихідні дані'!T72)</f>
        <v>0</v>
      </c>
      <c r="N2" s="84">
        <f>IF('Вихідні дані'!U72="",0,'Вихідні дані'!U72)</f>
        <v>0</v>
      </c>
      <c r="O2" s="84">
        <f>IF('Вихідні дані'!V72="",0,'Вихідні дані'!V72)</f>
        <v>0</v>
      </c>
      <c r="P2" s="84">
        <f>IF('Вихідні дані'!W72="",0,'Вихідні дані'!W72)</f>
        <v>0</v>
      </c>
      <c r="Q2" s="84">
        <f>IF('Вихідні дані'!X72="",0,'Вихідні дані'!X72)</f>
        <v>0</v>
      </c>
      <c r="R2" s="84">
        <f>IF('Вихідні дані'!Y72="",0,'Вихідні дані'!Y72)</f>
        <v>0</v>
      </c>
      <c r="S2" s="84">
        <f>IF('Вихідні дані'!Z72="",0,'Вихідні дані'!Z72)</f>
        <v>0</v>
      </c>
      <c r="T2" s="84">
        <f>IF('Вихідні дані'!AA72="",0,'Вихідні дані'!AA72)</f>
        <v>0</v>
      </c>
      <c r="U2" s="84">
        <f>IF('Вихідні дані'!AB72="",0,'Вихідні дані'!AB72)</f>
        <v>0</v>
      </c>
      <c r="V2" s="84">
        <f>IF('Вихідні дані'!AC72="",0,'Вихідні дані'!AC72)</f>
        <v>0</v>
      </c>
      <c r="W2" s="84">
        <f>IF('Вихідні дані'!AD72="",0,'Вихідні дані'!AD72)</f>
        <v>0</v>
      </c>
      <c r="X2" s="84">
        <f>IF('Вихідні дані'!AE72="",0,'Вихідні дані'!AE72)</f>
        <v>0</v>
      </c>
      <c r="Y2" s="84">
        <f>IF('Вихідні дані'!AF72="",0,'Вихідні дані'!AF72)</f>
        <v>0</v>
      </c>
      <c r="Z2" s="84">
        <f>IF('Вихідні дані'!AG72="",0,'Вихідні дані'!AG72)</f>
        <v>0</v>
      </c>
      <c r="AA2" s="84">
        <f>IF('Вихідні дані'!AH72="",0,'Вихідні дані'!AH72)</f>
        <v>0</v>
      </c>
      <c r="AB2" s="84">
        <f>IF('Вихідні дані'!AI72="",0,'Вихідні дані'!AI72)</f>
        <v>0</v>
      </c>
      <c r="AC2" s="84">
        <f>IF('Вихідні дані'!AJ72="",0,'Вихідні дані'!AJ72)</f>
        <v>0</v>
      </c>
      <c r="AD2" s="84">
        <f>IF('Вихідні дані'!AK72="",0,'Вихідні дані'!AK72)</f>
        <v>0</v>
      </c>
      <c r="AE2" s="84">
        <f>IF('Вихідні дані'!AL72="",0,'Вихідні дані'!AL72)</f>
        <v>0</v>
      </c>
      <c r="AF2" s="84">
        <f>IF('Вихідні дані'!AM72="",0,'Вихідні дані'!AM72)</f>
        <v>0</v>
      </c>
      <c r="AG2" s="84">
        <f>IF('Вихідні дані'!AN72="",0,'Вихідні дані'!AN72)</f>
        <v>0</v>
      </c>
      <c r="AH2" s="84">
        <f>IF('Вихідні дані'!AO72="",0,'Вихідні дані'!AO72)</f>
        <v>0</v>
      </c>
      <c r="AI2" s="84">
        <f>IF('Вихідні дані'!AP72="",0,'Вихідні дані'!AP72)</f>
        <v>0</v>
      </c>
      <c r="AJ2" s="84">
        <f>IF('Вихідні дані'!AQ72="",0,'Вихідні дані'!AQ72)</f>
        <v>0</v>
      </c>
      <c r="AK2" s="84">
        <f>IF('Вихідні дані'!AR72="",0,'Вихідні дані'!AR72)</f>
        <v>0</v>
      </c>
      <c r="AL2" s="84">
        <f>IF('Вихідні дані'!AS72="",0,'Вихідні дані'!AS72)</f>
        <v>0</v>
      </c>
      <c r="AM2" s="84">
        <f>IF('Вихідні дані'!AT72="",0,'Вихідні дані'!AT72)</f>
        <v>0</v>
      </c>
      <c r="AN2" s="84">
        <f>IF('Вихідні дані'!AU72="",0,'Вихідні дані'!AU72)</f>
        <v>0</v>
      </c>
      <c r="AO2" s="84">
        <f>IF('Вихідні дані'!AV72="",0,'Вихідні дані'!AV72)</f>
        <v>0</v>
      </c>
    </row>
    <row r="3" spans="1:61" s="85" customFormat="1" ht="18.75" customHeight="1" x14ac:dyDescent="0.25">
      <c r="A3" s="85" t="s">
        <v>54</v>
      </c>
      <c r="B3" s="85" t="str">
        <f>'Вихідні дані'!I73</f>
        <v/>
      </c>
      <c r="C3" s="85" t="str">
        <f>'Вихідні дані'!J73</f>
        <v/>
      </c>
      <c r="D3" s="85" t="str">
        <f>'Вихідні дані'!K73</f>
        <v/>
      </c>
      <c r="E3" s="85" t="str">
        <f>'Вихідні дані'!L73</f>
        <v/>
      </c>
      <c r="F3" s="85" t="str">
        <f>'Вихідні дані'!M73</f>
        <v/>
      </c>
      <c r="G3" s="85" t="str">
        <f>'Вихідні дані'!N73</f>
        <v/>
      </c>
      <c r="H3" s="85" t="str">
        <f>'Вихідні дані'!O73</f>
        <v/>
      </c>
      <c r="I3" s="85" t="str">
        <f>'Вихідні дані'!P73</f>
        <v/>
      </c>
      <c r="J3" s="85" t="str">
        <f>'Вихідні дані'!Q73</f>
        <v/>
      </c>
      <c r="K3" s="85" t="str">
        <f>'Вихідні дані'!R73</f>
        <v/>
      </c>
      <c r="L3" s="85" t="str">
        <f>'Вихідні дані'!S73</f>
        <v/>
      </c>
      <c r="M3" s="85" t="str">
        <f>'Вихідні дані'!T73</f>
        <v/>
      </c>
      <c r="N3" s="85" t="str">
        <f>'Вихідні дані'!U73</f>
        <v/>
      </c>
      <c r="O3" s="85" t="str">
        <f>'Вихідні дані'!V73</f>
        <v/>
      </c>
      <c r="P3" s="85" t="str">
        <f>'Вихідні дані'!W73</f>
        <v/>
      </c>
      <c r="Q3" s="85" t="str">
        <f>'Вихідні дані'!X73</f>
        <v/>
      </c>
      <c r="R3" s="85" t="str">
        <f>'Вихідні дані'!Y73</f>
        <v/>
      </c>
      <c r="S3" s="85" t="str">
        <f>'Вихідні дані'!Z73</f>
        <v/>
      </c>
      <c r="T3" s="85" t="str">
        <f>'Вихідні дані'!AA73</f>
        <v/>
      </c>
      <c r="U3" s="85" t="str">
        <f>'Вихідні дані'!AB73</f>
        <v/>
      </c>
      <c r="V3" s="85" t="str">
        <f>'Вихідні дані'!AC73</f>
        <v/>
      </c>
      <c r="W3" s="85" t="str">
        <f>'Вихідні дані'!AD73</f>
        <v/>
      </c>
      <c r="X3" s="85" t="str">
        <f>'Вихідні дані'!AE73</f>
        <v/>
      </c>
      <c r="Y3" s="85" t="str">
        <f>'Вихідні дані'!AF73</f>
        <v/>
      </c>
      <c r="Z3" s="85" t="str">
        <f>'Вихідні дані'!AG73</f>
        <v/>
      </c>
      <c r="AA3" s="85" t="str">
        <f>'Вихідні дані'!AH73</f>
        <v/>
      </c>
      <c r="AB3" s="85" t="str">
        <f>'Вихідні дані'!AI73</f>
        <v/>
      </c>
      <c r="AC3" s="85" t="str">
        <f>'Вихідні дані'!AJ73</f>
        <v/>
      </c>
      <c r="AD3" s="85" t="str">
        <f>'Вихідні дані'!AK73</f>
        <v/>
      </c>
      <c r="AE3" s="85" t="str">
        <f>'Вихідні дані'!AL73</f>
        <v/>
      </c>
      <c r="AF3" s="85" t="str">
        <f>'Вихідні дані'!AM73</f>
        <v/>
      </c>
      <c r="AG3" s="85" t="str">
        <f>'Вихідні дані'!AN73</f>
        <v/>
      </c>
      <c r="AH3" s="85" t="str">
        <f>'Вихідні дані'!AO73</f>
        <v/>
      </c>
      <c r="AI3" s="85" t="str">
        <f>'Вихідні дані'!AP73</f>
        <v/>
      </c>
      <c r="AJ3" s="85" t="str">
        <f>'Вихідні дані'!AQ73</f>
        <v/>
      </c>
      <c r="AK3" s="85" t="str">
        <f>'Вихідні дані'!AR73</f>
        <v/>
      </c>
      <c r="AL3" s="85" t="str">
        <f>'Вихідні дані'!AS73</f>
        <v/>
      </c>
      <c r="AM3" s="85" t="str">
        <f>'Вихідні дані'!AT73</f>
        <v/>
      </c>
      <c r="AN3" s="85" t="str">
        <f>'Вихідні дані'!AU73</f>
        <v/>
      </c>
      <c r="AO3" s="85" t="str">
        <f>'Вихідні дані'!AV73</f>
        <v/>
      </c>
      <c r="AP3" s="85" t="str">
        <f>'Вихідні дані'!AW11</f>
        <v/>
      </c>
      <c r="AQ3" s="85" t="str">
        <f>'Вихідні дані'!AX11</f>
        <v/>
      </c>
      <c r="AR3" s="85" t="str">
        <f>'Вихідні дані'!AY11</f>
        <v/>
      </c>
      <c r="AS3" s="85" t="str">
        <f>'Вихідні дані'!AZ11</f>
        <v/>
      </c>
      <c r="AT3" s="85" t="str">
        <f>'Вихідні дані'!BA11</f>
        <v/>
      </c>
      <c r="AU3" s="85" t="str">
        <f>'Вихідні дані'!BB11</f>
        <v/>
      </c>
      <c r="AV3" s="85" t="str">
        <f>'Вихідні дані'!BC11</f>
        <v/>
      </c>
      <c r="AW3" s="85" t="str">
        <f>'Вихідні дані'!BD11</f>
        <v/>
      </c>
      <c r="AX3" s="85" t="str">
        <f>'Вихідні дані'!BE11</f>
        <v/>
      </c>
      <c r="AY3" s="85" t="str">
        <f>'Вихідні дані'!BF11</f>
        <v/>
      </c>
      <c r="AZ3" s="85" t="str">
        <f>'Вихідні дані'!BG11</f>
        <v/>
      </c>
      <c r="BA3" s="85" t="str">
        <f>'Вихідні дані'!BH11</f>
        <v/>
      </c>
      <c r="BB3" s="85" t="str">
        <f>'Вихідні дані'!BI11</f>
        <v/>
      </c>
      <c r="BC3" s="85" t="str">
        <f>'Вихідні дані'!BJ11</f>
        <v/>
      </c>
      <c r="BD3" s="85" t="str">
        <f>'Вихідні дані'!BK11</f>
        <v/>
      </c>
      <c r="BE3" s="85" t="str">
        <f>'Вихідні дані'!BL11</f>
        <v/>
      </c>
      <c r="BF3" s="85" t="str">
        <f>'Вихідні дані'!BM11</f>
        <v/>
      </c>
      <c r="BG3" s="85" t="str">
        <f>'Вихідні дані'!BN11</f>
        <v/>
      </c>
      <c r="BH3" s="85" t="str">
        <f>'Вихідні дані'!BO11</f>
        <v/>
      </c>
      <c r="BI3" s="85" t="str">
        <f>'Вихідні дані'!BP11</f>
        <v/>
      </c>
    </row>
    <row r="4" spans="1:61" ht="60" customHeight="1" x14ac:dyDescent="0.3">
      <c r="A4" s="86"/>
    </row>
    <row r="5" spans="1:61" s="84" customFormat="1" ht="5.0999999999999996" customHeight="1" x14ac:dyDescent="0.3">
      <c r="B5" s="84" t="e">
        <f>'Вихідні дані'!I71</f>
        <v>#N/A</v>
      </c>
      <c r="C5" s="84" t="e">
        <f>'Вихідні дані'!J71</f>
        <v>#N/A</v>
      </c>
      <c r="D5" s="84" t="e">
        <f>'Вихідні дані'!K71</f>
        <v>#N/A</v>
      </c>
      <c r="E5" s="84" t="e">
        <f>'Вихідні дані'!L71</f>
        <v>#N/A</v>
      </c>
      <c r="F5" s="84" t="e">
        <f>'Вихідні дані'!M71</f>
        <v>#N/A</v>
      </c>
      <c r="G5" s="84" t="e">
        <f>'Вихідні дані'!N71</f>
        <v>#N/A</v>
      </c>
      <c r="H5" s="84" t="e">
        <f>'Вихідні дані'!O71</f>
        <v>#N/A</v>
      </c>
      <c r="I5" s="84" t="e">
        <f>'Вихідні дані'!P71</f>
        <v>#N/A</v>
      </c>
      <c r="J5" s="84" t="e">
        <f>'Вихідні дані'!Q71</f>
        <v>#N/A</v>
      </c>
      <c r="K5" s="84" t="e">
        <f>'Вихідні дані'!R71</f>
        <v>#N/A</v>
      </c>
      <c r="L5" s="84" t="e">
        <f>'Вихідні дані'!S71</f>
        <v>#N/A</v>
      </c>
      <c r="M5" s="84" t="e">
        <f>'Вихідні дані'!T71</f>
        <v>#N/A</v>
      </c>
      <c r="N5" s="84" t="e">
        <f>'Вихідні дані'!U71</f>
        <v>#N/A</v>
      </c>
      <c r="O5" s="84" t="e">
        <f>'Вихідні дані'!V71</f>
        <v>#N/A</v>
      </c>
      <c r="P5" s="84" t="e">
        <f>'Вихідні дані'!W71</f>
        <v>#N/A</v>
      </c>
      <c r="Q5" s="84" t="e">
        <f>'Вихідні дані'!X71</f>
        <v>#N/A</v>
      </c>
      <c r="R5" s="84" t="e">
        <f>'Вихідні дані'!Y71</f>
        <v>#N/A</v>
      </c>
      <c r="S5" s="84" t="e">
        <f>'Вихідні дані'!Z71</f>
        <v>#N/A</v>
      </c>
      <c r="T5" s="84" t="e">
        <f>'Вихідні дані'!AA71</f>
        <v>#N/A</v>
      </c>
      <c r="U5" s="84" t="e">
        <f>'Вихідні дані'!AB71</f>
        <v>#N/A</v>
      </c>
      <c r="V5" s="84" t="e">
        <f>'Вихідні дані'!AC71</f>
        <v>#N/A</v>
      </c>
      <c r="W5" s="84" t="e">
        <f>'Вихідні дані'!AD71</f>
        <v>#N/A</v>
      </c>
      <c r="X5" s="84" t="e">
        <f>'Вихідні дані'!AE71</f>
        <v>#N/A</v>
      </c>
      <c r="Y5" s="84" t="e">
        <f>'Вихідні дані'!AF71</f>
        <v>#N/A</v>
      </c>
      <c r="Z5" s="84" t="e">
        <f>'Вихідні дані'!AG71</f>
        <v>#N/A</v>
      </c>
      <c r="AA5" s="84" t="e">
        <f>'Вихідні дані'!AH71</f>
        <v>#N/A</v>
      </c>
      <c r="AB5" s="84" t="e">
        <f>'Вихідні дані'!AI71</f>
        <v>#N/A</v>
      </c>
      <c r="AC5" s="84" t="e">
        <f>'Вихідні дані'!AJ71</f>
        <v>#N/A</v>
      </c>
      <c r="AD5" s="84" t="e">
        <f>'Вихідні дані'!AK71</f>
        <v>#N/A</v>
      </c>
      <c r="AE5" s="84" t="e">
        <f>'Вихідні дані'!AL71</f>
        <v>#N/A</v>
      </c>
      <c r="AF5" s="84" t="e">
        <f>'Вихідні дані'!AM71</f>
        <v>#N/A</v>
      </c>
      <c r="AG5" s="84" t="e">
        <f>'Вихідні дані'!AN71</f>
        <v>#N/A</v>
      </c>
      <c r="AH5" s="84" t="e">
        <f>'Вихідні дані'!AO71</f>
        <v>#N/A</v>
      </c>
      <c r="AI5" s="84" t="e">
        <f>'Вихідні дані'!AP71</f>
        <v>#N/A</v>
      </c>
      <c r="AJ5" s="84" t="e">
        <f>'Вихідні дані'!AQ71</f>
        <v>#N/A</v>
      </c>
      <c r="AK5" s="84" t="e">
        <f>'Вихідні дані'!AR71</f>
        <v>#N/A</v>
      </c>
      <c r="AL5" s="84" t="e">
        <f>'Вихідні дані'!AS71</f>
        <v>#N/A</v>
      </c>
      <c r="AM5" s="84" t="e">
        <f>'Вихідні дані'!AT71</f>
        <v>#N/A</v>
      </c>
      <c r="AN5" s="84" t="e">
        <f>'Вихідні дані'!AU71</f>
        <v>#N/A</v>
      </c>
      <c r="AO5" s="84" t="e">
        <f>'Вихідні дані'!AV71</f>
        <v>#N/A</v>
      </c>
    </row>
    <row r="7" spans="1:61" x14ac:dyDescent="0.3">
      <c r="A7" s="87" t="str">
        <f>IF('Вихідні дані'!E109&gt;0,Каталог!B9," ")</f>
        <v xml:space="preserve"> </v>
      </c>
    </row>
    <row r="14" spans="1:61" ht="80.099999999999994" customHeight="1" x14ac:dyDescent="0.3"/>
    <row r="16" spans="1:61" ht="30.75" customHeight="1" x14ac:dyDescent="0.3">
      <c r="B16" s="167" t="str">
        <f>IF('Вихідні дані'!E102&gt;0,IF('Вихідні дані'!C3="Дротова",Каталог!B19,Каталог!B3)," ")</f>
        <v xml:space="preserve"> </v>
      </c>
      <c r="C16" s="167"/>
      <c r="D16" s="167"/>
      <c r="E16" s="167"/>
      <c r="F16" s="165" t="str">
        <f>IF('Вихідні дані'!E103&gt;0,IF('Вихідні дані'!C3="Дротова",Каталог!B20,Каталог!B4)," ")</f>
        <v xml:space="preserve"> </v>
      </c>
      <c r="G16" s="165"/>
      <c r="H16" s="165"/>
      <c r="J16" s="168" t="str">
        <f>IF('Вихідні дані'!$E$102&gt;1,IF('Вихідні дані'!$C$3="Дротова",Каталог!$B$19,Каталог!$B$3)," ")</f>
        <v xml:space="preserve"> </v>
      </c>
      <c r="K16" s="168"/>
      <c r="L16" s="168"/>
      <c r="M16" s="168"/>
      <c r="N16" s="164" t="str">
        <f>IF('Вихідні дані'!$E$103&gt;1,IF('Вихідні дані'!$C$3="Дротова",Каталог!$B$20,Каталог!$B$4)," ")</f>
        <v xml:space="preserve"> </v>
      </c>
      <c r="O16" s="164"/>
      <c r="P16" s="164"/>
      <c r="R16" s="168" t="str">
        <f>IF('Вихідні дані'!$E$102&gt;2,IF('Вихідні дані'!$C$3="Дротова",Каталог!$B$19,Каталог!$B$3)," ")</f>
        <v xml:space="preserve"> </v>
      </c>
      <c r="S16" s="168"/>
      <c r="T16" s="168"/>
      <c r="U16" s="168"/>
      <c r="V16" s="164" t="str">
        <f>IF('Вихідні дані'!$E$103&gt;2,IF('Вихідні дані'!$C$3="Дротова",Каталог!$B$20,Каталог!$B$4)," ")</f>
        <v xml:space="preserve"> </v>
      </c>
      <c r="W16" s="164"/>
      <c r="X16" s="164"/>
      <c r="Z16" s="167" t="str">
        <f>IF('Вихідні дані'!$E$102&gt;3,IF('Вихідні дані'!$C$3="Дротова",Каталог!$B$19,Каталог!$B$3)," ")</f>
        <v xml:space="preserve"> </v>
      </c>
      <c r="AA16" s="167"/>
      <c r="AB16" s="167"/>
      <c r="AC16" s="167"/>
      <c r="AD16" s="165" t="str">
        <f>IF('Вихідні дані'!$E$103&gt;3,IF('Вихідні дані'!$C$3="Дротова",Каталог!$B$20,Каталог!$B$4)," ")</f>
        <v xml:space="preserve"> </v>
      </c>
      <c r="AE16" s="165"/>
      <c r="AF16" s="165"/>
    </row>
    <row r="22" spans="1:30" x14ac:dyDescent="0.3">
      <c r="A22" s="164"/>
    </row>
    <row r="23" spans="1:30" x14ac:dyDescent="0.3">
      <c r="A23" s="164"/>
    </row>
    <row r="24" spans="1:30" x14ac:dyDescent="0.3">
      <c r="A24" s="164"/>
    </row>
    <row r="25" spans="1:30" ht="120" customHeight="1" x14ac:dyDescent="0.3">
      <c r="A25" s="88" t="str">
        <f>IF('Вихідні дані'!B100=0," ",Каталог!B16)</f>
        <v xml:space="preserve"> </v>
      </c>
      <c r="K25" s="88" t="str">
        <f>IF('Вихідні дані'!B100=2,Каталог!B16," ")</f>
        <v xml:space="preserve"> </v>
      </c>
      <c r="U25" s="88" t="str">
        <f>IF('Вихідні дані'!D100=0," ",Каталог!B16)</f>
        <v xml:space="preserve"> </v>
      </c>
    </row>
    <row r="27" spans="1:30" s="89" customFormat="1" ht="13.5" x14ac:dyDescent="0.25">
      <c r="B27" s="89" t="str">
        <f>IF('Вихідні дані'!A97=0," ","Uponor Vario PLUS Модульний пласт. колектор FM "&amp;'Вихідні дані'!A97&amp;" вих.")</f>
        <v xml:space="preserve"> </v>
      </c>
      <c r="G27" s="89" t="str">
        <f>IF('Вихідні дані'!C95=0," ","Uponor Vario PLUS Модульний пласт. колектор FM "&amp;'Вихідні дані'!A98&amp;" вих.")</f>
        <v xml:space="preserve"> </v>
      </c>
      <c r="L27" s="89" t="str">
        <f>IF('Вихідні дані'!B95-'Вихідні дані'!A97=0," ","Uponor Vario PLUS Модульний пласт. колектор FM "&amp;'Вихідні дані'!B95-'Вихідні дані'!A97&amp;" вих.")</f>
        <v xml:space="preserve"> </v>
      </c>
      <c r="Q27" s="89" t="str">
        <f>IF('Вихідні дані'!C95-'Вихідні дані'!A98=0," ","Uponor Vario PLUS Модульний пласт. колектор FM "&amp;'Вихідні дані'!C95-'Вихідні дані'!A98&amp;" вих.")</f>
        <v xml:space="preserve"> </v>
      </c>
      <c r="V27" s="89" t="str">
        <f>IF('Вихідні дані'!D95=0," ","Uponor Vario PLUS Модульний пласт. колектор FM "&amp;'Вихідні дані'!D95&amp;" вих.")</f>
        <v xml:space="preserve"> </v>
      </c>
      <c r="AA27" s="89" t="str">
        <f>IF('Вихідні дані'!E95=0," ","Uponor Vario PLUS Модульний пласт. колектор FM "&amp;'Вихідні дані'!E95&amp;" вих.")</f>
        <v xml:space="preserve"> </v>
      </c>
    </row>
    <row r="28" spans="1:30" x14ac:dyDescent="0.3">
      <c r="B28" s="166" t="str">
        <f>IF(B27=" "," ","ПІДЛОГА 1")</f>
        <v xml:space="preserve"> </v>
      </c>
      <c r="C28" s="166"/>
      <c r="D28" s="166"/>
      <c r="E28" s="166"/>
      <c r="G28" s="166" t="str">
        <f>IF(G27=" "," ","СТІНА/СТЕЛЯ 1")</f>
        <v xml:space="preserve"> </v>
      </c>
      <c r="H28" s="166"/>
      <c r="I28" s="166"/>
      <c r="J28" s="166"/>
      <c r="L28" s="166" t="str">
        <f>IF(L27=" "," ","ПІДЛОГА 2")</f>
        <v xml:space="preserve"> </v>
      </c>
      <c r="M28" s="166"/>
      <c r="N28" s="166"/>
      <c r="O28" s="166"/>
      <c r="Q28" s="166" t="str">
        <f>IF(Q27=" "," ","СТІНА/СТЕЛЯ 2")</f>
        <v xml:space="preserve"> </v>
      </c>
      <c r="R28" s="166"/>
      <c r="S28" s="166"/>
      <c r="T28" s="166"/>
      <c r="V28" s="166" t="str">
        <f>IF(V27=" "," ","РАДІАТОРИ/КОНВЕКТОРИ")</f>
        <v xml:space="preserve"> </v>
      </c>
      <c r="W28" s="166"/>
      <c r="X28" s="166"/>
      <c r="Y28" s="166"/>
      <c r="AA28" s="166" t="str">
        <f>IF(AA27=" "," ","ФАНКОЙЛИ")</f>
        <v xml:space="preserve"> </v>
      </c>
      <c r="AB28" s="166"/>
      <c r="AC28" s="166"/>
      <c r="AD28" s="166"/>
    </row>
  </sheetData>
  <sheetProtection algorithmName="SHA-512" hashValue="aIBp853jseEflPY9n4BeVAR0sy562PYtaTrJN07czbBcDMr/Wighq7xAT0gtj0LjehneXEVRJxt13GYzRhu1fQ==" saltValue="pxqPFH2OcspiMyQvdGrr3Q==" spinCount="100000" sheet="1" objects="1" scenarios="1"/>
  <mergeCells count="15">
    <mergeCell ref="A22:A24"/>
    <mergeCell ref="Z16:AC16"/>
    <mergeCell ref="AD16:AF16"/>
    <mergeCell ref="B28:E28"/>
    <mergeCell ref="G28:J28"/>
    <mergeCell ref="L28:O28"/>
    <mergeCell ref="Q28:T28"/>
    <mergeCell ref="V28:Y28"/>
    <mergeCell ref="AA28:AD28"/>
    <mergeCell ref="B16:E16"/>
    <mergeCell ref="F16:H16"/>
    <mergeCell ref="J16:M16"/>
    <mergeCell ref="N16:P16"/>
    <mergeCell ref="R16:U16"/>
    <mergeCell ref="V16:X16"/>
  </mergeCells>
  <conditionalFormatting sqref="A5:XFD5">
    <cfRule type="cellIs" dxfId="104" priority="51" operator="equal">
      <formula>4</formula>
    </cfRule>
    <cfRule type="cellIs" dxfId="103" priority="52" operator="equal">
      <formula>3</formula>
    </cfRule>
    <cfRule type="cellIs" dxfId="102" priority="53" operator="equal">
      <formula>1</formula>
    </cfRule>
    <cfRule type="cellIs" dxfId="101" priority="54" operator="equal">
      <formula>2</formula>
    </cfRule>
  </conditionalFormatting>
  <conditionalFormatting sqref="B16:H16">
    <cfRule type="cellIs" dxfId="100" priority="50" operator="notEqual">
      <formula>" "</formula>
    </cfRule>
  </conditionalFormatting>
  <conditionalFormatting sqref="J16:P16">
    <cfRule type="cellIs" dxfId="99" priority="49" operator="notEqual">
      <formula>" "</formula>
    </cfRule>
  </conditionalFormatting>
  <conditionalFormatting sqref="R16:X16">
    <cfRule type="cellIs" dxfId="98" priority="48" operator="notEqual">
      <formula>" "</formula>
    </cfRule>
  </conditionalFormatting>
  <conditionalFormatting sqref="Z16:AF16">
    <cfRule type="cellIs" dxfId="97" priority="24" operator="notEqual">
      <formula>" "</formula>
    </cfRule>
  </conditionalFormatting>
  <conditionalFormatting sqref="A13:A14 E14">
    <cfRule type="expression" dxfId="96" priority="2">
      <formula>$A$7&lt;&gt;" "</formula>
    </cfRule>
  </conditionalFormatting>
  <conditionalFormatting sqref="B15:E15">
    <cfRule type="expression" dxfId="95" priority="1">
      <formula>$A$7&lt;&gt;" "</formula>
    </cfRule>
  </conditionalFormatting>
  <pageMargins left="0.7" right="0.7" top="0.75" bottom="0.75" header="0.3" footer="0.3"/>
  <pageSetup orientation="portrait" r:id="rId1"/>
  <colBreaks count="1" manualBreakCount="1">
    <brk id="7" max="1048575" man="1"/>
  </colBreak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4" id="{CFEFDB6D-215B-42F7-975D-70E6A6A3CB3A}">
            <xm:f>SUM('Вихідні дані'!$B$97:$E$97)&gt;0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K17:K22</xm:sqref>
        </x14:conditionalFormatting>
        <x14:conditionalFormatting xmlns:xm="http://schemas.microsoft.com/office/excel/2006/main">
          <x14:cfRule type="expression" priority="43" id="{11CB8B04-6C1F-4584-B964-7CE3D8DE6514}">
            <xm:f>SUM('Вихідні дані'!$B$98:$E$98)&gt;0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S17:S21</xm:sqref>
        </x14:conditionalFormatting>
        <x14:conditionalFormatting xmlns:xm="http://schemas.microsoft.com/office/excel/2006/main">
          <x14:cfRule type="expression" priority="55" id="{B4CD9A9B-7D7D-4DCF-9C7A-A3378541DE0A}">
            <xm:f>SUM('Вихідні дані'!$B$96:$E$96)&gt;0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C17:C23</xm:sqref>
        </x14:conditionalFormatting>
        <x14:conditionalFormatting xmlns:xm="http://schemas.microsoft.com/office/excel/2006/main">
          <x14:cfRule type="expression" priority="46" id="{3197EC82-7F5E-4A2A-B687-96177B8C6812}">
            <xm:f>AND('Вихідні дані'!$B$95-'Вихідні дані'!$A$97&gt;0,'Вихідні дані'!$B$97&gt;0)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M23:M24</xm:sqref>
        </x14:conditionalFormatting>
        <x14:conditionalFormatting xmlns:xm="http://schemas.microsoft.com/office/excel/2006/main">
          <x14:cfRule type="expression" priority="45" id="{38D88DAE-3B2B-4797-8DEC-BE2A48D7F369}">
            <xm:f>'Вихідні дані'!$A$97&gt;'Вихідні дані'!$B$96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D23:J23</xm:sqref>
        </x14:conditionalFormatting>
        <x14:conditionalFormatting xmlns:xm="http://schemas.microsoft.com/office/excel/2006/main">
          <x14:cfRule type="expression" priority="41" id="{9F0DB8CA-2DA0-44F9-A2DE-F85CB25A47DF}">
            <xm:f>AND('Вихідні дані'!$B$97&gt;0,'Вихідні дані'!$A$97='Вихідні дані'!$B$95)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D23:D24</xm:sqref>
        </x14:conditionalFormatting>
        <x14:conditionalFormatting xmlns:xm="http://schemas.microsoft.com/office/excel/2006/main">
          <x14:cfRule type="expression" priority="42" id="{8C2E91B6-367E-4DB9-BD1B-E1F55E302EB5}">
            <xm:f>'Вихідні дані'!$B$96&gt;0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C24</xm:sqref>
        </x14:conditionalFormatting>
        <x14:conditionalFormatting xmlns:xm="http://schemas.microsoft.com/office/excel/2006/main">
          <x14:cfRule type="expression" priority="40" id="{B3793710-1653-42BC-A31B-42148C1AEBC9}">
            <xm:f>AND('Вихідні дані'!$B$95-'Вихідні дані'!$A$97&gt;0,'Вихідні дані'!$B$97&gt;0)</xm:f>
            <x14:dxf>
              <border>
                <bottom style="thin">
                  <color rgb="FFFFA300"/>
                </bottom>
                <vertical/>
                <horizontal/>
              </border>
            </x14:dxf>
          </x14:cfRule>
          <xm:sqref>K22:L22</xm:sqref>
        </x14:conditionalFormatting>
        <x14:conditionalFormatting xmlns:xm="http://schemas.microsoft.com/office/excel/2006/main">
          <x14:cfRule type="expression" priority="39" id="{84D6D5E2-B16D-4D63-BD67-3291AD4BE45A}">
            <xm:f>'Вихідні дані'!$C$96&gt;0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G24</xm:sqref>
        </x14:conditionalFormatting>
        <x14:conditionalFormatting xmlns:xm="http://schemas.microsoft.com/office/excel/2006/main">
          <x14:cfRule type="expression" priority="38" id="{69CB685B-19EB-476E-843C-2A65056960BF}">
            <xm:f>AND('Вихідні дані'!$B$95-'Вихідні дані'!$A$97&gt;0,'Вихідні дані'!$B$98&gt;0)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N22:N24</xm:sqref>
        </x14:conditionalFormatting>
        <x14:conditionalFormatting xmlns:xm="http://schemas.microsoft.com/office/excel/2006/main">
          <x14:cfRule type="expression" priority="37" id="{B5E7D20D-1908-4E94-A3C9-FAE02605A3FD}">
            <xm:f>AND('Вихідні дані'!$B$95-'Вихідні дані'!$A$97&gt;0,'Вихідні дані'!$B$98&gt;0)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N22:R22</xm:sqref>
        </x14:conditionalFormatting>
        <x14:conditionalFormatting xmlns:xm="http://schemas.microsoft.com/office/excel/2006/main">
          <x14:cfRule type="expression" priority="36" id="{60122B79-C0B1-4D89-9359-DA61D996CE96}">
            <xm:f>AND('Вихідні дані'!$C$97&gt;0,'Вихідні дані'!$C$95='Вихідні дані'!$A$98)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H23:H24</xm:sqref>
        </x14:conditionalFormatting>
        <x14:conditionalFormatting xmlns:xm="http://schemas.microsoft.com/office/excel/2006/main">
          <x14:cfRule type="expression" priority="35" id="{BBDBB7CA-154E-46D0-B816-43AFC6606453}">
            <xm:f>AND('Вихідні дані'!$C$97&gt;0,'Вихідні дані'!$C$95='Вихідні дані'!$A$98)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H23:J23</xm:sqref>
        </x14:conditionalFormatting>
        <x14:conditionalFormatting xmlns:xm="http://schemas.microsoft.com/office/excel/2006/main">
          <x14:cfRule type="expression" priority="34" id="{7895CA0A-8AC6-4D77-978C-7BB406DF2B4E}">
            <xm:f>AND('Вихідні дані'!$C$98&gt;0,'Вихідні дані'!$C$95='Вихідні дані'!$A$98)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I22:I24</xm:sqref>
        </x14:conditionalFormatting>
        <x14:conditionalFormatting xmlns:xm="http://schemas.microsoft.com/office/excel/2006/main">
          <x14:cfRule type="expression" priority="33" id="{0009D7E6-BDE1-46E2-86BF-B96DA17B6657}">
            <xm:f>AND('Вихідні дані'!$C$98&gt;0,'Вихідні дані'!$C$95='Вихідні дані'!$A$98)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I22:R22</xm:sqref>
        </x14:conditionalFormatting>
        <x14:conditionalFormatting xmlns:xm="http://schemas.microsoft.com/office/excel/2006/main">
          <x14:cfRule type="expression" priority="32" id="{42C1988A-34D9-441F-98FE-479A3E64AD09}">
            <xm:f>AND('Вихідні дані'!$B$95&gt;'Вихідні дані'!$A$97,'Вихідні дані'!$B$99&gt;0)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O21:O24</xm:sqref>
        </x14:conditionalFormatting>
        <x14:conditionalFormatting xmlns:xm="http://schemas.microsoft.com/office/excel/2006/main">
          <x14:cfRule type="expression" priority="31" id="{05742D94-BCF6-452B-BBF8-0776B304FE9C}">
            <xm:f>AND('Вихідні дані'!$B$98&gt;0,'Вихідні дані'!$A$97='Вихідні дані'!$B$95)</xm:f>
            <x14:dxf>
              <border>
                <left style="thin">
                  <color rgb="FF8CD600"/>
                </left>
                <right/>
                <vertical/>
                <horizontal/>
              </border>
            </x14:dxf>
          </x14:cfRule>
          <xm:sqref>E22:E24</xm:sqref>
        </x14:conditionalFormatting>
        <x14:conditionalFormatting xmlns:xm="http://schemas.microsoft.com/office/excel/2006/main">
          <x14:cfRule type="expression" priority="30" id="{3682885E-304E-4940-AA72-88D0DFD613B2}">
            <xm:f>AND('Вихідні дані'!$B$98&gt;0,'Вихідні дані'!$A$97='Вихідні дані'!$B$95)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E22:R22</xm:sqref>
        </x14:conditionalFormatting>
        <x14:conditionalFormatting xmlns:xm="http://schemas.microsoft.com/office/excel/2006/main">
          <x14:cfRule type="expression" priority="29" id="{1E455644-26E5-42E5-9EB7-DD340C1DC570}">
            <xm:f>'Вихідні дані'!$C$96&gt;0</xm:f>
            <x14:dxf>
              <border>
                <top style="thin">
                  <color rgb="FF203764"/>
                </top>
                <vertical/>
                <horizontal/>
              </border>
            </x14:dxf>
          </x14:cfRule>
          <xm:sqref>C24:F24</xm:sqref>
        </x14:conditionalFormatting>
        <x14:conditionalFormatting xmlns:xm="http://schemas.microsoft.com/office/excel/2006/main">
          <x14:cfRule type="expression" priority="28" id="{A948B147-84CB-4577-9A01-C8C7CA721FAF}">
            <xm:f>AND('Вихідні дані'!$B$99&gt;0,'Вихідні дані'!$A$97='Вихідні дані'!$B$95)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F21:F24</xm:sqref>
        </x14:conditionalFormatting>
        <x14:conditionalFormatting xmlns:xm="http://schemas.microsoft.com/office/excel/2006/main">
          <x14:cfRule type="expression" priority="27" id="{0D74F9AA-EC06-4EE6-968C-57DA2B05BD01}">
            <xm:f>AND('Вихідні дані'!$B$99&gt;0,'Вихідні дані'!$A$97='Вихідні дані'!$B$95)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F21:Z21</xm:sqref>
        </x14:conditionalFormatting>
        <x14:conditionalFormatting xmlns:xm="http://schemas.microsoft.com/office/excel/2006/main">
          <x14:cfRule type="expression" priority="26" id="{5AF7E018-61DF-4FE9-A0DA-14F6BA2693D9}">
            <xm:f>AND('Вихідні дані'!$B$95&gt;'Вихідні дані'!$A$97,'Вихідні дані'!$B$99&gt;0)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O21:Z21</xm:sqref>
        </x14:conditionalFormatting>
        <x14:conditionalFormatting xmlns:xm="http://schemas.microsoft.com/office/excel/2006/main">
          <x14:cfRule type="expression" priority="25" id="{304173FB-49DA-447C-982D-B6BDD73CEF08}">
            <xm:f>SUM('Вихідні дані'!$B$99:$E$99)&gt;0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AA17:AA20</xm:sqref>
        </x14:conditionalFormatting>
        <x14:conditionalFormatting xmlns:xm="http://schemas.microsoft.com/office/excel/2006/main">
          <x14:cfRule type="expression" priority="22" id="{3A4DA9A4-A8CF-45DA-B671-47276D1F4B4E}">
            <xm:f>AND('Вихідні дані'!$C$97&gt;0,'Вихідні дані'!$C$95&gt;'Вихідні дані'!$A$98)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R23:R24</xm:sqref>
        </x14:conditionalFormatting>
        <x14:conditionalFormatting xmlns:xm="http://schemas.microsoft.com/office/excel/2006/main">
          <x14:cfRule type="expression" priority="21" id="{26B64D3B-D73B-4CAE-97C8-049E4C833F8E}">
            <xm:f>AND('Вихідні дані'!$C$97&gt;0,'Вихідні дані'!$C$95&gt;'Вихідні дані'!$A$98)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K23:Q23</xm:sqref>
        </x14:conditionalFormatting>
        <x14:conditionalFormatting xmlns:xm="http://schemas.microsoft.com/office/excel/2006/main">
          <x14:cfRule type="expression" priority="20" id="{4A785068-63BD-4F91-9C6D-66463CE5005E}">
            <xm:f>AND('Вихідні дані'!$C$98&gt;0,'Вихідні дані'!$C$95&gt;'Вихідні дані'!$A$98)</xm:f>
            <x14:dxf>
              <border>
                <left style="thin">
                  <color rgb="FF8CD600"/>
                </left>
              </border>
            </x14:dxf>
          </x14:cfRule>
          <xm:sqref>S22:S24</xm:sqref>
        </x14:conditionalFormatting>
        <x14:conditionalFormatting xmlns:xm="http://schemas.microsoft.com/office/excel/2006/main">
          <x14:cfRule type="expression" priority="19" id="{1734D827-C8EA-462C-83FF-74940B929135}">
            <xm:f>AND('Вихідні дані'!$C$99&gt;0,'Вихідні дані'!$C$95&gt;'Вихідні дані'!$A$98)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T21:T24</xm:sqref>
        </x14:conditionalFormatting>
        <x14:conditionalFormatting xmlns:xm="http://schemas.microsoft.com/office/excel/2006/main">
          <x14:cfRule type="expression" priority="18" id="{B6D1DB5E-3560-4589-B989-21A63BDD9C14}">
            <xm:f>'Вихідні дані'!$D$96&gt;0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V24</xm:sqref>
        </x14:conditionalFormatting>
        <x14:conditionalFormatting xmlns:xm="http://schemas.microsoft.com/office/excel/2006/main">
          <x14:cfRule type="expression" priority="17" id="{645B35D0-EF43-4F25-B8F8-9177CE600090}">
            <xm:f>'Вихідні дані'!$D$97&gt;0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W23:W24</xm:sqref>
        </x14:conditionalFormatting>
        <x14:conditionalFormatting xmlns:xm="http://schemas.microsoft.com/office/excel/2006/main">
          <x14:cfRule type="expression" priority="16" id="{DA8A17E7-0D11-4B76-BE4B-742D6872AD74}">
            <xm:f>'Вихідні дані'!$D$97&gt;0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K23:V23</xm:sqref>
        </x14:conditionalFormatting>
        <x14:conditionalFormatting xmlns:xm="http://schemas.microsoft.com/office/excel/2006/main">
          <x14:cfRule type="expression" priority="15" id="{42948970-73C4-422B-B2C9-DA42AB591D4F}">
            <xm:f>'Вихідні дані'!$D$96&gt;0</xm:f>
            <x14:dxf>
              <border>
                <top style="thin">
                  <color rgb="FF203764"/>
                </top>
              </border>
            </x14:dxf>
          </x14:cfRule>
          <xm:sqref>C24:U24</xm:sqref>
        </x14:conditionalFormatting>
        <x14:conditionalFormatting xmlns:xm="http://schemas.microsoft.com/office/excel/2006/main">
          <x14:cfRule type="expression" priority="14" id="{9EA1C7E9-040D-45A0-B244-66E81DC4B8E9}">
            <xm:f>'Вихідні дані'!$D$98&gt;0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X22:X24</xm:sqref>
        </x14:conditionalFormatting>
        <x14:conditionalFormatting xmlns:xm="http://schemas.microsoft.com/office/excel/2006/main">
          <x14:cfRule type="expression" priority="13" id="{665CBC20-0006-4893-BF9C-6CF178AC1D87}">
            <xm:f>'Вихідні дані'!$D$98&gt;0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S22:W22</xm:sqref>
        </x14:conditionalFormatting>
        <x14:conditionalFormatting xmlns:xm="http://schemas.microsoft.com/office/excel/2006/main">
          <x14:cfRule type="expression" priority="12" id="{BB706264-34D9-43B1-9941-EAD53E4ADDF3}">
            <xm:f>'Вихідні дані'!$D$99&gt;0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Y21:Y24</xm:sqref>
        </x14:conditionalFormatting>
        <x14:conditionalFormatting xmlns:xm="http://schemas.microsoft.com/office/excel/2006/main">
          <x14:cfRule type="expression" priority="11" id="{53C53EBB-26EA-4223-AD7C-6BB5456D88E2}">
            <xm:f>'Вихідні дані'!$D$99&gt;0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Y21:Z21</xm:sqref>
        </x14:conditionalFormatting>
        <x14:conditionalFormatting xmlns:xm="http://schemas.microsoft.com/office/excel/2006/main">
          <x14:cfRule type="expression" priority="10" id="{394BC31E-0C27-4833-8F72-E36C3A5A15DC}">
            <xm:f>'Вихідні дані'!$E$96&gt;0</xm:f>
            <x14:dxf>
              <border>
                <left style="thin">
                  <color rgb="FF203764"/>
                </left>
                <vertical/>
                <horizontal/>
              </border>
            </x14:dxf>
          </x14:cfRule>
          <xm:sqref>AA24</xm:sqref>
        </x14:conditionalFormatting>
        <x14:conditionalFormatting xmlns:xm="http://schemas.microsoft.com/office/excel/2006/main">
          <x14:cfRule type="expression" priority="9" id="{59E1E68F-A77D-4F93-94C6-5164518C8887}">
            <xm:f>'Вихідні дані'!$E$96&gt;0</xm:f>
            <x14:dxf>
              <border>
                <top style="thin">
                  <color rgb="FF203764"/>
                </top>
                <vertical/>
                <horizontal/>
              </border>
            </x14:dxf>
          </x14:cfRule>
          <xm:sqref>C24:Z24</xm:sqref>
        </x14:conditionalFormatting>
        <x14:conditionalFormatting xmlns:xm="http://schemas.microsoft.com/office/excel/2006/main">
          <x14:cfRule type="expression" priority="8" id="{501D7C99-306A-4532-AFE4-28F176EB8B89}">
            <xm:f>'Вихідні дані'!$E$97&gt;0</xm:f>
            <x14:dxf>
              <border>
                <left style="thin">
                  <color rgb="FFFFA300"/>
                </left>
                <vertical/>
                <horizontal/>
              </border>
            </x14:dxf>
          </x14:cfRule>
          <xm:sqref>AB23:AB24</xm:sqref>
        </x14:conditionalFormatting>
        <x14:conditionalFormatting xmlns:xm="http://schemas.microsoft.com/office/excel/2006/main">
          <x14:cfRule type="expression" priority="7" id="{AEA59950-5356-4D02-A47E-8F4565CBAA3B}">
            <xm:f>'Вихідні дані'!$E$97&gt;0</xm:f>
            <x14:dxf>
              <border>
                <top style="thin">
                  <color rgb="FFFFA300"/>
                </top>
                <vertical/>
                <horizontal/>
              </border>
            </x14:dxf>
          </x14:cfRule>
          <xm:sqref>K23:AA23</xm:sqref>
        </x14:conditionalFormatting>
        <x14:conditionalFormatting xmlns:xm="http://schemas.microsoft.com/office/excel/2006/main">
          <x14:cfRule type="expression" priority="6" id="{F9970E20-4C7E-4ACA-980C-0D84A0F39847}">
            <xm:f>'Вихідні дані'!$E$98&gt;0</xm:f>
            <x14:dxf>
              <border>
                <left style="thin">
                  <color rgb="FF8CD600"/>
                </left>
                <vertical/>
                <horizontal/>
              </border>
            </x14:dxf>
          </x14:cfRule>
          <xm:sqref>AC22:AC24</xm:sqref>
        </x14:conditionalFormatting>
        <x14:conditionalFormatting xmlns:xm="http://schemas.microsoft.com/office/excel/2006/main">
          <x14:cfRule type="expression" priority="5" id="{231E4BBF-AF56-4353-B51C-F630BEE35E20}">
            <xm:f>'Вихідні дані'!$E$98&gt;0</xm:f>
            <x14:dxf>
              <border>
                <top style="thin">
                  <color rgb="FF8CD600"/>
                </top>
                <vertical/>
                <horizontal/>
              </border>
            </x14:dxf>
          </x14:cfRule>
          <xm:sqref>S22:AB22</xm:sqref>
        </x14:conditionalFormatting>
        <x14:conditionalFormatting xmlns:xm="http://schemas.microsoft.com/office/excel/2006/main">
          <x14:cfRule type="expression" priority="4" id="{B5BAC0CC-8FA2-4570-9557-F0B7130ECC68}">
            <xm:f>'Вихідні дані'!$E$99&gt;0</xm:f>
            <x14:dxf>
              <border>
                <left style="thin">
                  <color rgb="FFC00000"/>
                </left>
                <vertical/>
                <horizontal/>
              </border>
            </x14:dxf>
          </x14:cfRule>
          <xm:sqref>AD21:AD24</xm:sqref>
        </x14:conditionalFormatting>
        <x14:conditionalFormatting xmlns:xm="http://schemas.microsoft.com/office/excel/2006/main">
          <x14:cfRule type="expression" priority="3" id="{E2D68156-CF10-450A-AB56-98DB84608918}">
            <xm:f>'Вихідні дані'!$E$99&gt;0</xm:f>
            <x14:dxf>
              <border>
                <top style="thin">
                  <color rgb="FFC00000"/>
                </top>
                <vertical/>
                <horizontal/>
              </border>
            </x14:dxf>
          </x14:cfRule>
          <xm:sqref>AA21:AC21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Аркуш3">
    <tabColor rgb="FF0062C8"/>
    <pageSetUpPr fitToPage="1"/>
  </sheetPr>
  <dimension ref="A1:H28"/>
  <sheetViews>
    <sheetView topLeftCell="B1" zoomScale="90" zoomScaleNormal="90" workbookViewId="0">
      <selection activeCell="H5" sqref="H5"/>
    </sheetView>
  </sheetViews>
  <sheetFormatPr defaultColWidth="9.140625" defaultRowHeight="14.25" x14ac:dyDescent="0.3"/>
  <cols>
    <col min="1" max="1" width="4.5703125" style="39" hidden="1" customWidth="1"/>
    <col min="2" max="2" width="12.85546875" style="39" customWidth="1"/>
    <col min="3" max="3" width="62.5703125" style="39" bestFit="1" customWidth="1"/>
    <col min="4" max="4" width="13" style="66" customWidth="1"/>
    <col min="5" max="5" width="12.7109375" style="39" customWidth="1"/>
    <col min="6" max="6" width="8" style="39" customWidth="1"/>
    <col min="7" max="7" width="13.5703125" style="67" customWidth="1"/>
    <col min="8" max="8" width="9.7109375" style="39" customWidth="1"/>
    <col min="9" max="239" width="9.140625" style="39"/>
    <col min="240" max="240" width="6.85546875" style="39" customWidth="1"/>
    <col min="241" max="241" width="11.28515625" style="39" customWidth="1"/>
    <col min="242" max="242" width="43" style="39" customWidth="1"/>
    <col min="243" max="243" width="38.5703125" style="39" customWidth="1"/>
    <col min="244" max="244" width="13" style="39" customWidth="1"/>
    <col min="245" max="245" width="13.5703125" style="39" customWidth="1"/>
    <col min="246" max="246" width="8" style="39" customWidth="1"/>
    <col min="247" max="247" width="12.140625" style="39" customWidth="1"/>
    <col min="248" max="495" width="9.140625" style="39"/>
    <col min="496" max="496" width="6.85546875" style="39" customWidth="1"/>
    <col min="497" max="497" width="11.28515625" style="39" customWidth="1"/>
    <col min="498" max="498" width="43" style="39" customWidth="1"/>
    <col min="499" max="499" width="38.5703125" style="39" customWidth="1"/>
    <col min="500" max="500" width="13" style="39" customWidth="1"/>
    <col min="501" max="501" width="13.5703125" style="39" customWidth="1"/>
    <col min="502" max="502" width="8" style="39" customWidth="1"/>
    <col min="503" max="503" width="12.140625" style="39" customWidth="1"/>
    <col min="504" max="751" width="9.140625" style="39"/>
    <col min="752" max="752" width="6.85546875" style="39" customWidth="1"/>
    <col min="753" max="753" width="11.28515625" style="39" customWidth="1"/>
    <col min="754" max="754" width="43" style="39" customWidth="1"/>
    <col min="755" max="755" width="38.5703125" style="39" customWidth="1"/>
    <col min="756" max="756" width="13" style="39" customWidth="1"/>
    <col min="757" max="757" width="13.5703125" style="39" customWidth="1"/>
    <col min="758" max="758" width="8" style="39" customWidth="1"/>
    <col min="759" max="759" width="12.140625" style="39" customWidth="1"/>
    <col min="760" max="1007" width="9.140625" style="39"/>
    <col min="1008" max="1008" width="6.85546875" style="39" customWidth="1"/>
    <col min="1009" max="1009" width="11.28515625" style="39" customWidth="1"/>
    <col min="1010" max="1010" width="43" style="39" customWidth="1"/>
    <col min="1011" max="1011" width="38.5703125" style="39" customWidth="1"/>
    <col min="1012" max="1012" width="13" style="39" customWidth="1"/>
    <col min="1013" max="1013" width="13.5703125" style="39" customWidth="1"/>
    <col min="1014" max="1014" width="8" style="39" customWidth="1"/>
    <col min="1015" max="1015" width="12.140625" style="39" customWidth="1"/>
    <col min="1016" max="1263" width="9.140625" style="39"/>
    <col min="1264" max="1264" width="6.85546875" style="39" customWidth="1"/>
    <col min="1265" max="1265" width="11.28515625" style="39" customWidth="1"/>
    <col min="1266" max="1266" width="43" style="39" customWidth="1"/>
    <col min="1267" max="1267" width="38.5703125" style="39" customWidth="1"/>
    <col min="1268" max="1268" width="13" style="39" customWidth="1"/>
    <col min="1269" max="1269" width="13.5703125" style="39" customWidth="1"/>
    <col min="1270" max="1270" width="8" style="39" customWidth="1"/>
    <col min="1271" max="1271" width="12.140625" style="39" customWidth="1"/>
    <col min="1272" max="1519" width="9.140625" style="39"/>
    <col min="1520" max="1520" width="6.85546875" style="39" customWidth="1"/>
    <col min="1521" max="1521" width="11.28515625" style="39" customWidth="1"/>
    <col min="1522" max="1522" width="43" style="39" customWidth="1"/>
    <col min="1523" max="1523" width="38.5703125" style="39" customWidth="1"/>
    <col min="1524" max="1524" width="13" style="39" customWidth="1"/>
    <col min="1525" max="1525" width="13.5703125" style="39" customWidth="1"/>
    <col min="1526" max="1526" width="8" style="39" customWidth="1"/>
    <col min="1527" max="1527" width="12.140625" style="39" customWidth="1"/>
    <col min="1528" max="1775" width="9.140625" style="39"/>
    <col min="1776" max="1776" width="6.85546875" style="39" customWidth="1"/>
    <col min="1777" max="1777" width="11.28515625" style="39" customWidth="1"/>
    <col min="1778" max="1778" width="43" style="39" customWidth="1"/>
    <col min="1779" max="1779" width="38.5703125" style="39" customWidth="1"/>
    <col min="1780" max="1780" width="13" style="39" customWidth="1"/>
    <col min="1781" max="1781" width="13.5703125" style="39" customWidth="1"/>
    <col min="1782" max="1782" width="8" style="39" customWidth="1"/>
    <col min="1783" max="1783" width="12.140625" style="39" customWidth="1"/>
    <col min="1784" max="2031" width="9.140625" style="39"/>
    <col min="2032" max="2032" width="6.85546875" style="39" customWidth="1"/>
    <col min="2033" max="2033" width="11.28515625" style="39" customWidth="1"/>
    <col min="2034" max="2034" width="43" style="39" customWidth="1"/>
    <col min="2035" max="2035" width="38.5703125" style="39" customWidth="1"/>
    <col min="2036" max="2036" width="13" style="39" customWidth="1"/>
    <col min="2037" max="2037" width="13.5703125" style="39" customWidth="1"/>
    <col min="2038" max="2038" width="8" style="39" customWidth="1"/>
    <col min="2039" max="2039" width="12.140625" style="39" customWidth="1"/>
    <col min="2040" max="2287" width="9.140625" style="39"/>
    <col min="2288" max="2288" width="6.85546875" style="39" customWidth="1"/>
    <col min="2289" max="2289" width="11.28515625" style="39" customWidth="1"/>
    <col min="2290" max="2290" width="43" style="39" customWidth="1"/>
    <col min="2291" max="2291" width="38.5703125" style="39" customWidth="1"/>
    <col min="2292" max="2292" width="13" style="39" customWidth="1"/>
    <col min="2293" max="2293" width="13.5703125" style="39" customWidth="1"/>
    <col min="2294" max="2294" width="8" style="39" customWidth="1"/>
    <col min="2295" max="2295" width="12.140625" style="39" customWidth="1"/>
    <col min="2296" max="2543" width="9.140625" style="39"/>
    <col min="2544" max="2544" width="6.85546875" style="39" customWidth="1"/>
    <col min="2545" max="2545" width="11.28515625" style="39" customWidth="1"/>
    <col min="2546" max="2546" width="43" style="39" customWidth="1"/>
    <col min="2547" max="2547" width="38.5703125" style="39" customWidth="1"/>
    <col min="2548" max="2548" width="13" style="39" customWidth="1"/>
    <col min="2549" max="2549" width="13.5703125" style="39" customWidth="1"/>
    <col min="2550" max="2550" width="8" style="39" customWidth="1"/>
    <col min="2551" max="2551" width="12.140625" style="39" customWidth="1"/>
    <col min="2552" max="2799" width="9.140625" style="39"/>
    <col min="2800" max="2800" width="6.85546875" style="39" customWidth="1"/>
    <col min="2801" max="2801" width="11.28515625" style="39" customWidth="1"/>
    <col min="2802" max="2802" width="43" style="39" customWidth="1"/>
    <col min="2803" max="2803" width="38.5703125" style="39" customWidth="1"/>
    <col min="2804" max="2804" width="13" style="39" customWidth="1"/>
    <col min="2805" max="2805" width="13.5703125" style="39" customWidth="1"/>
    <col min="2806" max="2806" width="8" style="39" customWidth="1"/>
    <col min="2807" max="2807" width="12.140625" style="39" customWidth="1"/>
    <col min="2808" max="3055" width="9.140625" style="39"/>
    <col min="3056" max="3056" width="6.85546875" style="39" customWidth="1"/>
    <col min="3057" max="3057" width="11.28515625" style="39" customWidth="1"/>
    <col min="3058" max="3058" width="43" style="39" customWidth="1"/>
    <col min="3059" max="3059" width="38.5703125" style="39" customWidth="1"/>
    <col min="3060" max="3060" width="13" style="39" customWidth="1"/>
    <col min="3061" max="3061" width="13.5703125" style="39" customWidth="1"/>
    <col min="3062" max="3062" width="8" style="39" customWidth="1"/>
    <col min="3063" max="3063" width="12.140625" style="39" customWidth="1"/>
    <col min="3064" max="3311" width="9.140625" style="39"/>
    <col min="3312" max="3312" width="6.85546875" style="39" customWidth="1"/>
    <col min="3313" max="3313" width="11.28515625" style="39" customWidth="1"/>
    <col min="3314" max="3314" width="43" style="39" customWidth="1"/>
    <col min="3315" max="3315" width="38.5703125" style="39" customWidth="1"/>
    <col min="3316" max="3316" width="13" style="39" customWidth="1"/>
    <col min="3317" max="3317" width="13.5703125" style="39" customWidth="1"/>
    <col min="3318" max="3318" width="8" style="39" customWidth="1"/>
    <col min="3319" max="3319" width="12.140625" style="39" customWidth="1"/>
    <col min="3320" max="3567" width="9.140625" style="39"/>
    <col min="3568" max="3568" width="6.85546875" style="39" customWidth="1"/>
    <col min="3569" max="3569" width="11.28515625" style="39" customWidth="1"/>
    <col min="3570" max="3570" width="43" style="39" customWidth="1"/>
    <col min="3571" max="3571" width="38.5703125" style="39" customWidth="1"/>
    <col min="3572" max="3572" width="13" style="39" customWidth="1"/>
    <col min="3573" max="3573" width="13.5703125" style="39" customWidth="1"/>
    <col min="3574" max="3574" width="8" style="39" customWidth="1"/>
    <col min="3575" max="3575" width="12.140625" style="39" customWidth="1"/>
    <col min="3576" max="3823" width="9.140625" style="39"/>
    <col min="3824" max="3824" width="6.85546875" style="39" customWidth="1"/>
    <col min="3825" max="3825" width="11.28515625" style="39" customWidth="1"/>
    <col min="3826" max="3826" width="43" style="39" customWidth="1"/>
    <col min="3827" max="3827" width="38.5703125" style="39" customWidth="1"/>
    <col min="3828" max="3828" width="13" style="39" customWidth="1"/>
    <col min="3829" max="3829" width="13.5703125" style="39" customWidth="1"/>
    <col min="3830" max="3830" width="8" style="39" customWidth="1"/>
    <col min="3831" max="3831" width="12.140625" style="39" customWidth="1"/>
    <col min="3832" max="4079" width="9.140625" style="39"/>
    <col min="4080" max="4080" width="6.85546875" style="39" customWidth="1"/>
    <col min="4081" max="4081" width="11.28515625" style="39" customWidth="1"/>
    <col min="4082" max="4082" width="43" style="39" customWidth="1"/>
    <col min="4083" max="4083" width="38.5703125" style="39" customWidth="1"/>
    <col min="4084" max="4084" width="13" style="39" customWidth="1"/>
    <col min="4085" max="4085" width="13.5703125" style="39" customWidth="1"/>
    <col min="4086" max="4086" width="8" style="39" customWidth="1"/>
    <col min="4087" max="4087" width="12.140625" style="39" customWidth="1"/>
    <col min="4088" max="4335" width="9.140625" style="39"/>
    <col min="4336" max="4336" width="6.85546875" style="39" customWidth="1"/>
    <col min="4337" max="4337" width="11.28515625" style="39" customWidth="1"/>
    <col min="4338" max="4338" width="43" style="39" customWidth="1"/>
    <col min="4339" max="4339" width="38.5703125" style="39" customWidth="1"/>
    <col min="4340" max="4340" width="13" style="39" customWidth="1"/>
    <col min="4341" max="4341" width="13.5703125" style="39" customWidth="1"/>
    <col min="4342" max="4342" width="8" style="39" customWidth="1"/>
    <col min="4343" max="4343" width="12.140625" style="39" customWidth="1"/>
    <col min="4344" max="4591" width="9.140625" style="39"/>
    <col min="4592" max="4592" width="6.85546875" style="39" customWidth="1"/>
    <col min="4593" max="4593" width="11.28515625" style="39" customWidth="1"/>
    <col min="4594" max="4594" width="43" style="39" customWidth="1"/>
    <col min="4595" max="4595" width="38.5703125" style="39" customWidth="1"/>
    <col min="4596" max="4596" width="13" style="39" customWidth="1"/>
    <col min="4597" max="4597" width="13.5703125" style="39" customWidth="1"/>
    <col min="4598" max="4598" width="8" style="39" customWidth="1"/>
    <col min="4599" max="4599" width="12.140625" style="39" customWidth="1"/>
    <col min="4600" max="4847" width="9.140625" style="39"/>
    <col min="4848" max="4848" width="6.85546875" style="39" customWidth="1"/>
    <col min="4849" max="4849" width="11.28515625" style="39" customWidth="1"/>
    <col min="4850" max="4850" width="43" style="39" customWidth="1"/>
    <col min="4851" max="4851" width="38.5703125" style="39" customWidth="1"/>
    <col min="4852" max="4852" width="13" style="39" customWidth="1"/>
    <col min="4853" max="4853" width="13.5703125" style="39" customWidth="1"/>
    <col min="4854" max="4854" width="8" style="39" customWidth="1"/>
    <col min="4855" max="4855" width="12.140625" style="39" customWidth="1"/>
    <col min="4856" max="5103" width="9.140625" style="39"/>
    <col min="5104" max="5104" width="6.85546875" style="39" customWidth="1"/>
    <col min="5105" max="5105" width="11.28515625" style="39" customWidth="1"/>
    <col min="5106" max="5106" width="43" style="39" customWidth="1"/>
    <col min="5107" max="5107" width="38.5703125" style="39" customWidth="1"/>
    <col min="5108" max="5108" width="13" style="39" customWidth="1"/>
    <col min="5109" max="5109" width="13.5703125" style="39" customWidth="1"/>
    <col min="5110" max="5110" width="8" style="39" customWidth="1"/>
    <col min="5111" max="5111" width="12.140625" style="39" customWidth="1"/>
    <col min="5112" max="5359" width="9.140625" style="39"/>
    <col min="5360" max="5360" width="6.85546875" style="39" customWidth="1"/>
    <col min="5361" max="5361" width="11.28515625" style="39" customWidth="1"/>
    <col min="5362" max="5362" width="43" style="39" customWidth="1"/>
    <col min="5363" max="5363" width="38.5703125" style="39" customWidth="1"/>
    <col min="5364" max="5364" width="13" style="39" customWidth="1"/>
    <col min="5365" max="5365" width="13.5703125" style="39" customWidth="1"/>
    <col min="5366" max="5366" width="8" style="39" customWidth="1"/>
    <col min="5367" max="5367" width="12.140625" style="39" customWidth="1"/>
    <col min="5368" max="5615" width="9.140625" style="39"/>
    <col min="5616" max="5616" width="6.85546875" style="39" customWidth="1"/>
    <col min="5617" max="5617" width="11.28515625" style="39" customWidth="1"/>
    <col min="5618" max="5618" width="43" style="39" customWidth="1"/>
    <col min="5619" max="5619" width="38.5703125" style="39" customWidth="1"/>
    <col min="5620" max="5620" width="13" style="39" customWidth="1"/>
    <col min="5621" max="5621" width="13.5703125" style="39" customWidth="1"/>
    <col min="5622" max="5622" width="8" style="39" customWidth="1"/>
    <col min="5623" max="5623" width="12.140625" style="39" customWidth="1"/>
    <col min="5624" max="5871" width="9.140625" style="39"/>
    <col min="5872" max="5872" width="6.85546875" style="39" customWidth="1"/>
    <col min="5873" max="5873" width="11.28515625" style="39" customWidth="1"/>
    <col min="5874" max="5874" width="43" style="39" customWidth="1"/>
    <col min="5875" max="5875" width="38.5703125" style="39" customWidth="1"/>
    <col min="5876" max="5876" width="13" style="39" customWidth="1"/>
    <col min="5877" max="5877" width="13.5703125" style="39" customWidth="1"/>
    <col min="5878" max="5878" width="8" style="39" customWidth="1"/>
    <col min="5879" max="5879" width="12.140625" style="39" customWidth="1"/>
    <col min="5880" max="6127" width="9.140625" style="39"/>
    <col min="6128" max="6128" width="6.85546875" style="39" customWidth="1"/>
    <col min="6129" max="6129" width="11.28515625" style="39" customWidth="1"/>
    <col min="6130" max="6130" width="43" style="39" customWidth="1"/>
    <col min="6131" max="6131" width="38.5703125" style="39" customWidth="1"/>
    <col min="6132" max="6132" width="13" style="39" customWidth="1"/>
    <col min="6133" max="6133" width="13.5703125" style="39" customWidth="1"/>
    <col min="6134" max="6134" width="8" style="39" customWidth="1"/>
    <col min="6135" max="6135" width="12.140625" style="39" customWidth="1"/>
    <col min="6136" max="6383" width="9.140625" style="39"/>
    <col min="6384" max="6384" width="6.85546875" style="39" customWidth="1"/>
    <col min="6385" max="6385" width="11.28515625" style="39" customWidth="1"/>
    <col min="6386" max="6386" width="43" style="39" customWidth="1"/>
    <col min="6387" max="6387" width="38.5703125" style="39" customWidth="1"/>
    <col min="6388" max="6388" width="13" style="39" customWidth="1"/>
    <col min="6389" max="6389" width="13.5703125" style="39" customWidth="1"/>
    <col min="6390" max="6390" width="8" style="39" customWidth="1"/>
    <col min="6391" max="6391" width="12.140625" style="39" customWidth="1"/>
    <col min="6392" max="6639" width="9.140625" style="39"/>
    <col min="6640" max="6640" width="6.85546875" style="39" customWidth="1"/>
    <col min="6641" max="6641" width="11.28515625" style="39" customWidth="1"/>
    <col min="6642" max="6642" width="43" style="39" customWidth="1"/>
    <col min="6643" max="6643" width="38.5703125" style="39" customWidth="1"/>
    <col min="6644" max="6644" width="13" style="39" customWidth="1"/>
    <col min="6645" max="6645" width="13.5703125" style="39" customWidth="1"/>
    <col min="6646" max="6646" width="8" style="39" customWidth="1"/>
    <col min="6647" max="6647" width="12.140625" style="39" customWidth="1"/>
    <col min="6648" max="6895" width="9.140625" style="39"/>
    <col min="6896" max="6896" width="6.85546875" style="39" customWidth="1"/>
    <col min="6897" max="6897" width="11.28515625" style="39" customWidth="1"/>
    <col min="6898" max="6898" width="43" style="39" customWidth="1"/>
    <col min="6899" max="6899" width="38.5703125" style="39" customWidth="1"/>
    <col min="6900" max="6900" width="13" style="39" customWidth="1"/>
    <col min="6901" max="6901" width="13.5703125" style="39" customWidth="1"/>
    <col min="6902" max="6902" width="8" style="39" customWidth="1"/>
    <col min="6903" max="6903" width="12.140625" style="39" customWidth="1"/>
    <col min="6904" max="7151" width="9.140625" style="39"/>
    <col min="7152" max="7152" width="6.85546875" style="39" customWidth="1"/>
    <col min="7153" max="7153" width="11.28515625" style="39" customWidth="1"/>
    <col min="7154" max="7154" width="43" style="39" customWidth="1"/>
    <col min="7155" max="7155" width="38.5703125" style="39" customWidth="1"/>
    <col min="7156" max="7156" width="13" style="39" customWidth="1"/>
    <col min="7157" max="7157" width="13.5703125" style="39" customWidth="1"/>
    <col min="7158" max="7158" width="8" style="39" customWidth="1"/>
    <col min="7159" max="7159" width="12.140625" style="39" customWidth="1"/>
    <col min="7160" max="7407" width="9.140625" style="39"/>
    <col min="7408" max="7408" width="6.85546875" style="39" customWidth="1"/>
    <col min="7409" max="7409" width="11.28515625" style="39" customWidth="1"/>
    <col min="7410" max="7410" width="43" style="39" customWidth="1"/>
    <col min="7411" max="7411" width="38.5703125" style="39" customWidth="1"/>
    <col min="7412" max="7412" width="13" style="39" customWidth="1"/>
    <col min="7413" max="7413" width="13.5703125" style="39" customWidth="1"/>
    <col min="7414" max="7414" width="8" style="39" customWidth="1"/>
    <col min="7415" max="7415" width="12.140625" style="39" customWidth="1"/>
    <col min="7416" max="7663" width="9.140625" style="39"/>
    <col min="7664" max="7664" width="6.85546875" style="39" customWidth="1"/>
    <col min="7665" max="7665" width="11.28515625" style="39" customWidth="1"/>
    <col min="7666" max="7666" width="43" style="39" customWidth="1"/>
    <col min="7667" max="7667" width="38.5703125" style="39" customWidth="1"/>
    <col min="7668" max="7668" width="13" style="39" customWidth="1"/>
    <col min="7669" max="7669" width="13.5703125" style="39" customWidth="1"/>
    <col min="7670" max="7670" width="8" style="39" customWidth="1"/>
    <col min="7671" max="7671" width="12.140625" style="39" customWidth="1"/>
    <col min="7672" max="7919" width="9.140625" style="39"/>
    <col min="7920" max="7920" width="6.85546875" style="39" customWidth="1"/>
    <col min="7921" max="7921" width="11.28515625" style="39" customWidth="1"/>
    <col min="7922" max="7922" width="43" style="39" customWidth="1"/>
    <col min="7923" max="7923" width="38.5703125" style="39" customWidth="1"/>
    <col min="7924" max="7924" width="13" style="39" customWidth="1"/>
    <col min="7925" max="7925" width="13.5703125" style="39" customWidth="1"/>
    <col min="7926" max="7926" width="8" style="39" customWidth="1"/>
    <col min="7927" max="7927" width="12.140625" style="39" customWidth="1"/>
    <col min="7928" max="8175" width="9.140625" style="39"/>
    <col min="8176" max="8176" width="6.85546875" style="39" customWidth="1"/>
    <col min="8177" max="8177" width="11.28515625" style="39" customWidth="1"/>
    <col min="8178" max="8178" width="43" style="39" customWidth="1"/>
    <col min="8179" max="8179" width="38.5703125" style="39" customWidth="1"/>
    <col min="8180" max="8180" width="13" style="39" customWidth="1"/>
    <col min="8181" max="8181" width="13.5703125" style="39" customWidth="1"/>
    <col min="8182" max="8182" width="8" style="39" customWidth="1"/>
    <col min="8183" max="8183" width="12.140625" style="39" customWidth="1"/>
    <col min="8184" max="8431" width="9.140625" style="39"/>
    <col min="8432" max="8432" width="6.85546875" style="39" customWidth="1"/>
    <col min="8433" max="8433" width="11.28515625" style="39" customWidth="1"/>
    <col min="8434" max="8434" width="43" style="39" customWidth="1"/>
    <col min="8435" max="8435" width="38.5703125" style="39" customWidth="1"/>
    <col min="8436" max="8436" width="13" style="39" customWidth="1"/>
    <col min="8437" max="8437" width="13.5703125" style="39" customWidth="1"/>
    <col min="8438" max="8438" width="8" style="39" customWidth="1"/>
    <col min="8439" max="8439" width="12.140625" style="39" customWidth="1"/>
    <col min="8440" max="8687" width="9.140625" style="39"/>
    <col min="8688" max="8688" width="6.85546875" style="39" customWidth="1"/>
    <col min="8689" max="8689" width="11.28515625" style="39" customWidth="1"/>
    <col min="8690" max="8690" width="43" style="39" customWidth="1"/>
    <col min="8691" max="8691" width="38.5703125" style="39" customWidth="1"/>
    <col min="8692" max="8692" width="13" style="39" customWidth="1"/>
    <col min="8693" max="8693" width="13.5703125" style="39" customWidth="1"/>
    <col min="8694" max="8694" width="8" style="39" customWidth="1"/>
    <col min="8695" max="8695" width="12.140625" style="39" customWidth="1"/>
    <col min="8696" max="8943" width="9.140625" style="39"/>
    <col min="8944" max="8944" width="6.85546875" style="39" customWidth="1"/>
    <col min="8945" max="8945" width="11.28515625" style="39" customWidth="1"/>
    <col min="8946" max="8946" width="43" style="39" customWidth="1"/>
    <col min="8947" max="8947" width="38.5703125" style="39" customWidth="1"/>
    <col min="8948" max="8948" width="13" style="39" customWidth="1"/>
    <col min="8949" max="8949" width="13.5703125" style="39" customWidth="1"/>
    <col min="8950" max="8950" width="8" style="39" customWidth="1"/>
    <col min="8951" max="8951" width="12.140625" style="39" customWidth="1"/>
    <col min="8952" max="9199" width="9.140625" style="39"/>
    <col min="9200" max="9200" width="6.85546875" style="39" customWidth="1"/>
    <col min="9201" max="9201" width="11.28515625" style="39" customWidth="1"/>
    <col min="9202" max="9202" width="43" style="39" customWidth="1"/>
    <col min="9203" max="9203" width="38.5703125" style="39" customWidth="1"/>
    <col min="9204" max="9204" width="13" style="39" customWidth="1"/>
    <col min="9205" max="9205" width="13.5703125" style="39" customWidth="1"/>
    <col min="9206" max="9206" width="8" style="39" customWidth="1"/>
    <col min="9207" max="9207" width="12.140625" style="39" customWidth="1"/>
    <col min="9208" max="9455" width="9.140625" style="39"/>
    <col min="9456" max="9456" width="6.85546875" style="39" customWidth="1"/>
    <col min="9457" max="9457" width="11.28515625" style="39" customWidth="1"/>
    <col min="9458" max="9458" width="43" style="39" customWidth="1"/>
    <col min="9459" max="9459" width="38.5703125" style="39" customWidth="1"/>
    <col min="9460" max="9460" width="13" style="39" customWidth="1"/>
    <col min="9461" max="9461" width="13.5703125" style="39" customWidth="1"/>
    <col min="9462" max="9462" width="8" style="39" customWidth="1"/>
    <col min="9463" max="9463" width="12.140625" style="39" customWidth="1"/>
    <col min="9464" max="9711" width="9.140625" style="39"/>
    <col min="9712" max="9712" width="6.85546875" style="39" customWidth="1"/>
    <col min="9713" max="9713" width="11.28515625" style="39" customWidth="1"/>
    <col min="9714" max="9714" width="43" style="39" customWidth="1"/>
    <col min="9715" max="9715" width="38.5703125" style="39" customWidth="1"/>
    <col min="9716" max="9716" width="13" style="39" customWidth="1"/>
    <col min="9717" max="9717" width="13.5703125" style="39" customWidth="1"/>
    <col min="9718" max="9718" width="8" style="39" customWidth="1"/>
    <col min="9719" max="9719" width="12.140625" style="39" customWidth="1"/>
    <col min="9720" max="9967" width="9.140625" style="39"/>
    <col min="9968" max="9968" width="6.85546875" style="39" customWidth="1"/>
    <col min="9969" max="9969" width="11.28515625" style="39" customWidth="1"/>
    <col min="9970" max="9970" width="43" style="39" customWidth="1"/>
    <col min="9971" max="9971" width="38.5703125" style="39" customWidth="1"/>
    <col min="9972" max="9972" width="13" style="39" customWidth="1"/>
    <col min="9973" max="9973" width="13.5703125" style="39" customWidth="1"/>
    <col min="9974" max="9974" width="8" style="39" customWidth="1"/>
    <col min="9975" max="9975" width="12.140625" style="39" customWidth="1"/>
    <col min="9976" max="10223" width="9.140625" style="39"/>
    <col min="10224" max="10224" width="6.85546875" style="39" customWidth="1"/>
    <col min="10225" max="10225" width="11.28515625" style="39" customWidth="1"/>
    <col min="10226" max="10226" width="43" style="39" customWidth="1"/>
    <col min="10227" max="10227" width="38.5703125" style="39" customWidth="1"/>
    <col min="10228" max="10228" width="13" style="39" customWidth="1"/>
    <col min="10229" max="10229" width="13.5703125" style="39" customWidth="1"/>
    <col min="10230" max="10230" width="8" style="39" customWidth="1"/>
    <col min="10231" max="10231" width="12.140625" style="39" customWidth="1"/>
    <col min="10232" max="10479" width="9.140625" style="39"/>
    <col min="10480" max="10480" width="6.85546875" style="39" customWidth="1"/>
    <col min="10481" max="10481" width="11.28515625" style="39" customWidth="1"/>
    <col min="10482" max="10482" width="43" style="39" customWidth="1"/>
    <col min="10483" max="10483" width="38.5703125" style="39" customWidth="1"/>
    <col min="10484" max="10484" width="13" style="39" customWidth="1"/>
    <col min="10485" max="10485" width="13.5703125" style="39" customWidth="1"/>
    <col min="10486" max="10486" width="8" style="39" customWidth="1"/>
    <col min="10487" max="10487" width="12.140625" style="39" customWidth="1"/>
    <col min="10488" max="10735" width="9.140625" style="39"/>
    <col min="10736" max="10736" width="6.85546875" style="39" customWidth="1"/>
    <col min="10737" max="10737" width="11.28515625" style="39" customWidth="1"/>
    <col min="10738" max="10738" width="43" style="39" customWidth="1"/>
    <col min="10739" max="10739" width="38.5703125" style="39" customWidth="1"/>
    <col min="10740" max="10740" width="13" style="39" customWidth="1"/>
    <col min="10741" max="10741" width="13.5703125" style="39" customWidth="1"/>
    <col min="10742" max="10742" width="8" style="39" customWidth="1"/>
    <col min="10743" max="10743" width="12.140625" style="39" customWidth="1"/>
    <col min="10744" max="10991" width="9.140625" style="39"/>
    <col min="10992" max="10992" width="6.85546875" style="39" customWidth="1"/>
    <col min="10993" max="10993" width="11.28515625" style="39" customWidth="1"/>
    <col min="10994" max="10994" width="43" style="39" customWidth="1"/>
    <col min="10995" max="10995" width="38.5703125" style="39" customWidth="1"/>
    <col min="10996" max="10996" width="13" style="39" customWidth="1"/>
    <col min="10997" max="10997" width="13.5703125" style="39" customWidth="1"/>
    <col min="10998" max="10998" width="8" style="39" customWidth="1"/>
    <col min="10999" max="10999" width="12.140625" style="39" customWidth="1"/>
    <col min="11000" max="11247" width="9.140625" style="39"/>
    <col min="11248" max="11248" width="6.85546875" style="39" customWidth="1"/>
    <col min="11249" max="11249" width="11.28515625" style="39" customWidth="1"/>
    <col min="11250" max="11250" width="43" style="39" customWidth="1"/>
    <col min="11251" max="11251" width="38.5703125" style="39" customWidth="1"/>
    <col min="11252" max="11252" width="13" style="39" customWidth="1"/>
    <col min="11253" max="11253" width="13.5703125" style="39" customWidth="1"/>
    <col min="11254" max="11254" width="8" style="39" customWidth="1"/>
    <col min="11255" max="11255" width="12.140625" style="39" customWidth="1"/>
    <col min="11256" max="11503" width="9.140625" style="39"/>
    <col min="11504" max="11504" width="6.85546875" style="39" customWidth="1"/>
    <col min="11505" max="11505" width="11.28515625" style="39" customWidth="1"/>
    <col min="11506" max="11506" width="43" style="39" customWidth="1"/>
    <col min="11507" max="11507" width="38.5703125" style="39" customWidth="1"/>
    <col min="11508" max="11508" width="13" style="39" customWidth="1"/>
    <col min="11509" max="11509" width="13.5703125" style="39" customWidth="1"/>
    <col min="11510" max="11510" width="8" style="39" customWidth="1"/>
    <col min="11511" max="11511" width="12.140625" style="39" customWidth="1"/>
    <col min="11512" max="11759" width="9.140625" style="39"/>
    <col min="11760" max="11760" width="6.85546875" style="39" customWidth="1"/>
    <col min="11761" max="11761" width="11.28515625" style="39" customWidth="1"/>
    <col min="11762" max="11762" width="43" style="39" customWidth="1"/>
    <col min="11763" max="11763" width="38.5703125" style="39" customWidth="1"/>
    <col min="11764" max="11764" width="13" style="39" customWidth="1"/>
    <col min="11765" max="11765" width="13.5703125" style="39" customWidth="1"/>
    <col min="11766" max="11766" width="8" style="39" customWidth="1"/>
    <col min="11767" max="11767" width="12.140625" style="39" customWidth="1"/>
    <col min="11768" max="12015" width="9.140625" style="39"/>
    <col min="12016" max="12016" width="6.85546875" style="39" customWidth="1"/>
    <col min="12017" max="12017" width="11.28515625" style="39" customWidth="1"/>
    <col min="12018" max="12018" width="43" style="39" customWidth="1"/>
    <col min="12019" max="12019" width="38.5703125" style="39" customWidth="1"/>
    <col min="12020" max="12020" width="13" style="39" customWidth="1"/>
    <col min="12021" max="12021" width="13.5703125" style="39" customWidth="1"/>
    <col min="12022" max="12022" width="8" style="39" customWidth="1"/>
    <col min="12023" max="12023" width="12.140625" style="39" customWidth="1"/>
    <col min="12024" max="12271" width="9.140625" style="39"/>
    <col min="12272" max="12272" width="6.85546875" style="39" customWidth="1"/>
    <col min="12273" max="12273" width="11.28515625" style="39" customWidth="1"/>
    <col min="12274" max="12274" width="43" style="39" customWidth="1"/>
    <col min="12275" max="12275" width="38.5703125" style="39" customWidth="1"/>
    <col min="12276" max="12276" width="13" style="39" customWidth="1"/>
    <col min="12277" max="12277" width="13.5703125" style="39" customWidth="1"/>
    <col min="12278" max="12278" width="8" style="39" customWidth="1"/>
    <col min="12279" max="12279" width="12.140625" style="39" customWidth="1"/>
    <col min="12280" max="12527" width="9.140625" style="39"/>
    <col min="12528" max="12528" width="6.85546875" style="39" customWidth="1"/>
    <col min="12529" max="12529" width="11.28515625" style="39" customWidth="1"/>
    <col min="12530" max="12530" width="43" style="39" customWidth="1"/>
    <col min="12531" max="12531" width="38.5703125" style="39" customWidth="1"/>
    <col min="12532" max="12532" width="13" style="39" customWidth="1"/>
    <col min="12533" max="12533" width="13.5703125" style="39" customWidth="1"/>
    <col min="12534" max="12534" width="8" style="39" customWidth="1"/>
    <col min="12535" max="12535" width="12.140625" style="39" customWidth="1"/>
    <col min="12536" max="12783" width="9.140625" style="39"/>
    <col min="12784" max="12784" width="6.85546875" style="39" customWidth="1"/>
    <col min="12785" max="12785" width="11.28515625" style="39" customWidth="1"/>
    <col min="12786" max="12786" width="43" style="39" customWidth="1"/>
    <col min="12787" max="12787" width="38.5703125" style="39" customWidth="1"/>
    <col min="12788" max="12788" width="13" style="39" customWidth="1"/>
    <col min="12789" max="12789" width="13.5703125" style="39" customWidth="1"/>
    <col min="12790" max="12790" width="8" style="39" customWidth="1"/>
    <col min="12791" max="12791" width="12.140625" style="39" customWidth="1"/>
    <col min="12792" max="13039" width="9.140625" style="39"/>
    <col min="13040" max="13040" width="6.85546875" style="39" customWidth="1"/>
    <col min="13041" max="13041" width="11.28515625" style="39" customWidth="1"/>
    <col min="13042" max="13042" width="43" style="39" customWidth="1"/>
    <col min="13043" max="13043" width="38.5703125" style="39" customWidth="1"/>
    <col min="13044" max="13044" width="13" style="39" customWidth="1"/>
    <col min="13045" max="13045" width="13.5703125" style="39" customWidth="1"/>
    <col min="13046" max="13046" width="8" style="39" customWidth="1"/>
    <col min="13047" max="13047" width="12.140625" style="39" customWidth="1"/>
    <col min="13048" max="13295" width="9.140625" style="39"/>
    <col min="13296" max="13296" width="6.85546875" style="39" customWidth="1"/>
    <col min="13297" max="13297" width="11.28515625" style="39" customWidth="1"/>
    <col min="13298" max="13298" width="43" style="39" customWidth="1"/>
    <col min="13299" max="13299" width="38.5703125" style="39" customWidth="1"/>
    <col min="13300" max="13300" width="13" style="39" customWidth="1"/>
    <col min="13301" max="13301" width="13.5703125" style="39" customWidth="1"/>
    <col min="13302" max="13302" width="8" style="39" customWidth="1"/>
    <col min="13303" max="13303" width="12.140625" style="39" customWidth="1"/>
    <col min="13304" max="13551" width="9.140625" style="39"/>
    <col min="13552" max="13552" width="6.85546875" style="39" customWidth="1"/>
    <col min="13553" max="13553" width="11.28515625" style="39" customWidth="1"/>
    <col min="13554" max="13554" width="43" style="39" customWidth="1"/>
    <col min="13555" max="13555" width="38.5703125" style="39" customWidth="1"/>
    <col min="13556" max="13556" width="13" style="39" customWidth="1"/>
    <col min="13557" max="13557" width="13.5703125" style="39" customWidth="1"/>
    <col min="13558" max="13558" width="8" style="39" customWidth="1"/>
    <col min="13559" max="13559" width="12.140625" style="39" customWidth="1"/>
    <col min="13560" max="13807" width="9.140625" style="39"/>
    <col min="13808" max="13808" width="6.85546875" style="39" customWidth="1"/>
    <col min="13809" max="13809" width="11.28515625" style="39" customWidth="1"/>
    <col min="13810" max="13810" width="43" style="39" customWidth="1"/>
    <col min="13811" max="13811" width="38.5703125" style="39" customWidth="1"/>
    <col min="13812" max="13812" width="13" style="39" customWidth="1"/>
    <col min="13813" max="13813" width="13.5703125" style="39" customWidth="1"/>
    <col min="13814" max="13814" width="8" style="39" customWidth="1"/>
    <col min="13815" max="13815" width="12.140625" style="39" customWidth="1"/>
    <col min="13816" max="14063" width="9.140625" style="39"/>
    <col min="14064" max="14064" width="6.85546875" style="39" customWidth="1"/>
    <col min="14065" max="14065" width="11.28515625" style="39" customWidth="1"/>
    <col min="14066" max="14066" width="43" style="39" customWidth="1"/>
    <col min="14067" max="14067" width="38.5703125" style="39" customWidth="1"/>
    <col min="14068" max="14068" width="13" style="39" customWidth="1"/>
    <col min="14069" max="14069" width="13.5703125" style="39" customWidth="1"/>
    <col min="14070" max="14070" width="8" style="39" customWidth="1"/>
    <col min="14071" max="14071" width="12.140625" style="39" customWidth="1"/>
    <col min="14072" max="14319" width="9.140625" style="39"/>
    <col min="14320" max="14320" width="6.85546875" style="39" customWidth="1"/>
    <col min="14321" max="14321" width="11.28515625" style="39" customWidth="1"/>
    <col min="14322" max="14322" width="43" style="39" customWidth="1"/>
    <col min="14323" max="14323" width="38.5703125" style="39" customWidth="1"/>
    <col min="14324" max="14324" width="13" style="39" customWidth="1"/>
    <col min="14325" max="14325" width="13.5703125" style="39" customWidth="1"/>
    <col min="14326" max="14326" width="8" style="39" customWidth="1"/>
    <col min="14327" max="14327" width="12.140625" style="39" customWidth="1"/>
    <col min="14328" max="14575" width="9.140625" style="39"/>
    <col min="14576" max="14576" width="6.85546875" style="39" customWidth="1"/>
    <col min="14577" max="14577" width="11.28515625" style="39" customWidth="1"/>
    <col min="14578" max="14578" width="43" style="39" customWidth="1"/>
    <col min="14579" max="14579" width="38.5703125" style="39" customWidth="1"/>
    <col min="14580" max="14580" width="13" style="39" customWidth="1"/>
    <col min="14581" max="14581" width="13.5703125" style="39" customWidth="1"/>
    <col min="14582" max="14582" width="8" style="39" customWidth="1"/>
    <col min="14583" max="14583" width="12.140625" style="39" customWidth="1"/>
    <col min="14584" max="14831" width="9.140625" style="39"/>
    <col min="14832" max="14832" width="6.85546875" style="39" customWidth="1"/>
    <col min="14833" max="14833" width="11.28515625" style="39" customWidth="1"/>
    <col min="14834" max="14834" width="43" style="39" customWidth="1"/>
    <col min="14835" max="14835" width="38.5703125" style="39" customWidth="1"/>
    <col min="14836" max="14836" width="13" style="39" customWidth="1"/>
    <col min="14837" max="14837" width="13.5703125" style="39" customWidth="1"/>
    <col min="14838" max="14838" width="8" style="39" customWidth="1"/>
    <col min="14839" max="14839" width="12.140625" style="39" customWidth="1"/>
    <col min="14840" max="15087" width="9.140625" style="39"/>
    <col min="15088" max="15088" width="6.85546875" style="39" customWidth="1"/>
    <col min="15089" max="15089" width="11.28515625" style="39" customWidth="1"/>
    <col min="15090" max="15090" width="43" style="39" customWidth="1"/>
    <col min="15091" max="15091" width="38.5703125" style="39" customWidth="1"/>
    <col min="15092" max="15092" width="13" style="39" customWidth="1"/>
    <col min="15093" max="15093" width="13.5703125" style="39" customWidth="1"/>
    <col min="15094" max="15094" width="8" style="39" customWidth="1"/>
    <col min="15095" max="15095" width="12.140625" style="39" customWidth="1"/>
    <col min="15096" max="15343" width="9.140625" style="39"/>
    <col min="15344" max="15344" width="6.85546875" style="39" customWidth="1"/>
    <col min="15345" max="15345" width="11.28515625" style="39" customWidth="1"/>
    <col min="15346" max="15346" width="43" style="39" customWidth="1"/>
    <col min="15347" max="15347" width="38.5703125" style="39" customWidth="1"/>
    <col min="15348" max="15348" width="13" style="39" customWidth="1"/>
    <col min="15349" max="15349" width="13.5703125" style="39" customWidth="1"/>
    <col min="15350" max="15350" width="8" style="39" customWidth="1"/>
    <col min="15351" max="15351" width="12.140625" style="39" customWidth="1"/>
    <col min="15352" max="15599" width="9.140625" style="39"/>
    <col min="15600" max="15600" width="6.85546875" style="39" customWidth="1"/>
    <col min="15601" max="15601" width="11.28515625" style="39" customWidth="1"/>
    <col min="15602" max="15602" width="43" style="39" customWidth="1"/>
    <col min="15603" max="15603" width="38.5703125" style="39" customWidth="1"/>
    <col min="15604" max="15604" width="13" style="39" customWidth="1"/>
    <col min="15605" max="15605" width="13.5703125" style="39" customWidth="1"/>
    <col min="15606" max="15606" width="8" style="39" customWidth="1"/>
    <col min="15607" max="15607" width="12.140625" style="39" customWidth="1"/>
    <col min="15608" max="15855" width="9.140625" style="39"/>
    <col min="15856" max="15856" width="6.85546875" style="39" customWidth="1"/>
    <col min="15857" max="15857" width="11.28515625" style="39" customWidth="1"/>
    <col min="15858" max="15858" width="43" style="39" customWidth="1"/>
    <col min="15859" max="15859" width="38.5703125" style="39" customWidth="1"/>
    <col min="15860" max="15860" width="13" style="39" customWidth="1"/>
    <col min="15861" max="15861" width="13.5703125" style="39" customWidth="1"/>
    <col min="15862" max="15862" width="8" style="39" customWidth="1"/>
    <col min="15863" max="15863" width="12.140625" style="39" customWidth="1"/>
    <col min="15864" max="16111" width="9.140625" style="39"/>
    <col min="16112" max="16112" width="6.85546875" style="39" customWidth="1"/>
    <col min="16113" max="16113" width="11.28515625" style="39" customWidth="1"/>
    <col min="16114" max="16114" width="43" style="39" customWidth="1"/>
    <col min="16115" max="16115" width="38.5703125" style="39" customWidth="1"/>
    <col min="16116" max="16116" width="13" style="39" customWidth="1"/>
    <col min="16117" max="16117" width="13.5703125" style="39" customWidth="1"/>
    <col min="16118" max="16118" width="8" style="39" customWidth="1"/>
    <col min="16119" max="16119" width="12.140625" style="39" customWidth="1"/>
    <col min="16120" max="16384" width="9.140625" style="39"/>
  </cols>
  <sheetData>
    <row r="1" spans="1:8" ht="45" customHeight="1" x14ac:dyDescent="0.3">
      <c r="A1" s="170" t="s">
        <v>64</v>
      </c>
      <c r="B1" s="170"/>
      <c r="C1" s="170"/>
      <c r="D1" s="170"/>
      <c r="E1" s="170"/>
      <c r="F1" s="170"/>
      <c r="G1" s="170"/>
      <c r="H1" s="170"/>
    </row>
    <row r="2" spans="1:8" x14ac:dyDescent="0.3">
      <c r="A2" s="169"/>
      <c r="B2" s="169"/>
      <c r="C2" s="169"/>
      <c r="D2" s="169"/>
      <c r="E2" s="169"/>
      <c r="F2" s="169"/>
      <c r="G2" s="169"/>
      <c r="H2" s="40"/>
    </row>
    <row r="3" spans="1:8" x14ac:dyDescent="0.3">
      <c r="A3" s="41"/>
      <c r="B3" s="41"/>
      <c r="C3" s="41"/>
      <c r="D3" s="42"/>
      <c r="E3" s="41"/>
      <c r="F3" s="41"/>
      <c r="G3" s="43"/>
      <c r="H3" s="44"/>
    </row>
    <row r="4" spans="1:8" x14ac:dyDescent="0.3">
      <c r="A4" s="41"/>
      <c r="B4" s="41"/>
      <c r="C4" s="41"/>
      <c r="D4" s="45" t="s">
        <v>14</v>
      </c>
      <c r="E4" s="32">
        <v>0</v>
      </c>
      <c r="F4" s="41"/>
      <c r="G4" s="43"/>
    </row>
    <row r="5" spans="1:8" ht="42.75" x14ac:dyDescent="0.3">
      <c r="A5" s="46" t="s">
        <v>15</v>
      </c>
      <c r="B5" s="47" t="s">
        <v>3</v>
      </c>
      <c r="C5" s="48" t="s">
        <v>4</v>
      </c>
      <c r="D5" s="48" t="s">
        <v>5</v>
      </c>
      <c r="E5" s="48" t="s">
        <v>113</v>
      </c>
      <c r="F5" s="48" t="s">
        <v>16</v>
      </c>
      <c r="G5" s="48" t="s">
        <v>112</v>
      </c>
      <c r="H5" s="48" t="s">
        <v>66</v>
      </c>
    </row>
    <row r="6" spans="1:8" x14ac:dyDescent="0.3">
      <c r="A6" s="49"/>
      <c r="B6" s="50"/>
      <c r="C6" s="51" t="str">
        <f>'Вихідні дані'!C3&amp;" автоматика Uponor Smatrix Pulse"</f>
        <v>Дротова автоматика Uponor Smatrix Pulse</v>
      </c>
      <c r="D6" s="50"/>
      <c r="E6" s="50"/>
      <c r="F6" s="50"/>
      <c r="G6" s="50"/>
      <c r="H6" s="52"/>
    </row>
    <row r="7" spans="1:8" x14ac:dyDescent="0.3">
      <c r="A7" s="53">
        <v>2</v>
      </c>
      <c r="B7" s="54">
        <f>IF('Вихідні дані'!$C$3="Дротова",1093017,1093021)</f>
        <v>1093017</v>
      </c>
      <c r="C7" s="55" t="str">
        <f>_xlfn.IFNA(VLOOKUP(B7,'Price_List 2023 UA'!B:G,2,FALSE),"")</f>
        <v>Uponor Smatrix Base Контролер Pulse X-245 BUS 6X</v>
      </c>
      <c r="D7" s="56">
        <f>_xlfn.IFNA(VLOOKUP(B7,'Price_List 2023 UA'!B:G,3,),"")</f>
        <v>310.33</v>
      </c>
      <c r="E7" s="56">
        <f t="shared" ref="E7:E25" si="0">IFERROR(D7*(1-$E$4),"")</f>
        <v>310.33</v>
      </c>
      <c r="F7" s="34">
        <v>2</v>
      </c>
      <c r="G7" s="57">
        <f t="shared" ref="G7:G17" si="1">IFERROR(E7*F7,"")</f>
        <v>620.66</v>
      </c>
      <c r="H7" s="35">
        <f>'Вихідні дані'!G102</f>
        <v>2</v>
      </c>
    </row>
    <row r="8" spans="1:8" x14ac:dyDescent="0.3">
      <c r="A8" s="53">
        <v>2</v>
      </c>
      <c r="B8" s="54">
        <f>IF('Вихідні дані'!$C$3="Дротова",1093134,1093133)</f>
        <v>1093134</v>
      </c>
      <c r="C8" s="55" t="str">
        <f>_xlfn.IFNA(VLOOKUP(B8,'Price_List 2023 UA'!B:G,2,FALSE),"")</f>
        <v>Uponor Smatrix Base Модуль розширення Pulse M-242 BUS 6X</v>
      </c>
      <c r="D8" s="56">
        <f>_xlfn.IFNA(VLOOKUP(B8,'Price_List 2023 UA'!B:G,3,),"")</f>
        <v>101.48</v>
      </c>
      <c r="E8" s="56">
        <f t="shared" si="0"/>
        <v>101.48</v>
      </c>
      <c r="F8" s="34">
        <v>2</v>
      </c>
      <c r="G8" s="57">
        <f t="shared" si="1"/>
        <v>202.96</v>
      </c>
      <c r="H8" s="35">
        <f>'Вихідні дані'!G103</f>
        <v>2</v>
      </c>
    </row>
    <row r="9" spans="1:8" x14ac:dyDescent="0.3">
      <c r="A9" s="53">
        <v>3</v>
      </c>
      <c r="B9" s="54">
        <f>IF('Вихідні дані'!$C$3="Дротова",1087813,1087816)</f>
        <v>1087813</v>
      </c>
      <c r="C9" s="55" t="str">
        <f>_xlfn.IFNA(VLOOKUP(B9,'Price_List 2023 UA'!B:G,2,FALSE),"")</f>
        <v>Uponor Smatrix Base Дротовий термогігрометр Style T-149 Bus</v>
      </c>
      <c r="D9" s="56">
        <f>_xlfn.IFNA(VLOOKUP(B9,'Price_List 2023 UA'!B:G,3,),"")</f>
        <v>142.84</v>
      </c>
      <c r="E9" s="56">
        <f t="shared" si="0"/>
        <v>142.84</v>
      </c>
      <c r="F9" s="34">
        <v>16</v>
      </c>
      <c r="G9" s="57">
        <f t="shared" si="1"/>
        <v>2285.44</v>
      </c>
      <c r="H9" s="35">
        <f>SUMIF('Вихідні дані'!$C$4,"*9 білий",'Вихідні дані'!G104)</f>
        <v>16</v>
      </c>
    </row>
    <row r="10" spans="1:8" x14ac:dyDescent="0.3">
      <c r="A10" s="53">
        <v>4</v>
      </c>
      <c r="B10" s="54">
        <f>IF('Вихідні дані'!$C$3="Дротова",1087814,1087817)</f>
        <v>1087814</v>
      </c>
      <c r="C10" s="55" t="str">
        <f>_xlfn.IFNA(VLOOKUP(B10,'Price_List 2023 UA'!B:G,2,FALSE),"")</f>
        <v>Uponor Smatrix Base Дротовий термогігрометр Style T-149 Bus BLACK</v>
      </c>
      <c r="D10" s="56">
        <f>_xlfn.IFNA(VLOOKUP(B10,'Price_List 2023 UA'!B:G,3,),"")</f>
        <v>142.84</v>
      </c>
      <c r="E10" s="56">
        <f t="shared" si="0"/>
        <v>142.84</v>
      </c>
      <c r="F10" s="34">
        <v>0</v>
      </c>
      <c r="G10" s="57">
        <f t="shared" si="1"/>
        <v>0</v>
      </c>
      <c r="H10" s="35">
        <f>SUMIF('Вихідні дані'!$C$4,"*9 чорний",'Вихідні дані'!$G$104)</f>
        <v>0</v>
      </c>
    </row>
    <row r="11" spans="1:8" x14ac:dyDescent="0.3">
      <c r="A11" s="53">
        <v>8</v>
      </c>
      <c r="B11" s="54">
        <f>IF('Вихідні дані'!$C$3="Дротова",1087812,1087815)</f>
        <v>1087812</v>
      </c>
      <c r="C11" s="55" t="str">
        <f>_xlfn.IFNA(VLOOKUP(B11,'Price_List 2023 UA'!B:G,2,FALSE),"")</f>
        <v>Uponor Smatrix Base PRO Термостат +RH Style T-141 Bus FLUSH</v>
      </c>
      <c r="D11" s="56">
        <f>_xlfn.IFNA(VLOOKUP(B11,'Price_List 2023 UA'!B:G,3,),"")</f>
        <v>82.66</v>
      </c>
      <c r="E11" s="56">
        <f t="shared" si="0"/>
        <v>82.66</v>
      </c>
      <c r="F11" s="34">
        <v>0</v>
      </c>
      <c r="G11" s="57">
        <f t="shared" si="1"/>
        <v>0</v>
      </c>
      <c r="H11" s="35">
        <f>SUMIF('Вихідні дані'!$C$4,"*1?1",'Вихідні дані'!$G$104)+'Вихідні дані'!G106</f>
        <v>2</v>
      </c>
    </row>
    <row r="12" spans="1:8" x14ac:dyDescent="0.3">
      <c r="A12" s="53">
        <v>8</v>
      </c>
      <c r="B12" s="54">
        <f>IF('Вихідні дані'!$C$3="Дротова",1086977,1086984)</f>
        <v>1086977</v>
      </c>
      <c r="C12" s="55" t="str">
        <f>_xlfn.IFNA(VLOOKUP(B12,'Price_List 2023 UA'!B:G,2,FALSE),"")</f>
        <v>Uponor Smatrix Base Дрот. термостат прогр. T-148 Bus RAL9016</v>
      </c>
      <c r="D12" s="56">
        <f>_xlfn.IFNA(VLOOKUP(B12,'Price_List 2023 UA'!B:G,3,),"")</f>
        <v>110.61</v>
      </c>
      <c r="E12" s="56">
        <f t="shared" si="0"/>
        <v>110.61</v>
      </c>
      <c r="F12" s="34">
        <v>0</v>
      </c>
      <c r="G12" s="57">
        <f t="shared" si="1"/>
        <v>0</v>
      </c>
      <c r="H12" s="35">
        <f>SUMIF('Вихідні дані'!$C$4,"*8*",'Вихідні дані'!$G$104)</f>
        <v>0</v>
      </c>
    </row>
    <row r="13" spans="1:8" x14ac:dyDescent="0.3">
      <c r="A13" s="53">
        <v>6</v>
      </c>
      <c r="B13" s="54">
        <v>1093030</v>
      </c>
      <c r="C13" s="55" t="str">
        <f>_xlfn.IFNA(VLOOKUP(B13,'Price_List 2023 UA'!B:G,2,FALSE),"")</f>
        <v>Uponor Smatrix Модуль Wi-Fi Pulse com R-208</v>
      </c>
      <c r="D13" s="56">
        <f>_xlfn.IFNA(VLOOKUP(B13,'Price_List 2023 UA'!B:G,3,),"")</f>
        <v>825.87</v>
      </c>
      <c r="E13" s="56">
        <f t="shared" si="0"/>
        <v>825.87</v>
      </c>
      <c r="F13" s="34">
        <v>1</v>
      </c>
      <c r="G13" s="57">
        <f t="shared" si="1"/>
        <v>825.87</v>
      </c>
      <c r="H13" s="35">
        <f>'Вихідні дані'!G109</f>
        <v>1</v>
      </c>
    </row>
    <row r="14" spans="1:8" x14ac:dyDescent="0.3">
      <c r="A14" s="53">
        <v>9</v>
      </c>
      <c r="B14" s="54">
        <v>1071684</v>
      </c>
      <c r="C14" s="55" t="str">
        <f>_xlfn.IFNA(VLOOKUP(B14,'Price_List 2023 UA'!B:G,2,FALSE),"")</f>
        <v>Uponor Smatrix Датчик виносний (підлоги) S-1XX</v>
      </c>
      <c r="D14" s="56">
        <f>_xlfn.IFNA(VLOOKUP(B14,'Price_List 2023 UA'!B:G,3,),"")</f>
        <v>11.9</v>
      </c>
      <c r="E14" s="56">
        <f t="shared" si="0"/>
        <v>11.9</v>
      </c>
      <c r="F14" s="34">
        <v>0</v>
      </c>
      <c r="G14" s="57">
        <f t="shared" si="1"/>
        <v>0</v>
      </c>
      <c r="H14" s="35">
        <v>0</v>
      </c>
    </row>
    <row r="15" spans="1:8" x14ac:dyDescent="0.3">
      <c r="A15" s="53">
        <v>11</v>
      </c>
      <c r="B15" s="54">
        <v>1000138</v>
      </c>
      <c r="C15" s="55" t="str">
        <f>_xlfn.IFNA(VLOOKUP(B15,'Price_List 2023 UA'!B:G,2,FALSE),"")</f>
        <v>Uponor Vario PLUS Сервопривід для пласт. колекторів NC 24V MT30x1,5</v>
      </c>
      <c r="D15" s="56">
        <f>_xlfn.IFNA(VLOOKUP(B15,'Price_List 2023 UA'!B:G,3,),"")</f>
        <v>32.92</v>
      </c>
      <c r="E15" s="56">
        <f t="shared" si="0"/>
        <v>32.92</v>
      </c>
      <c r="F15" s="34">
        <v>23</v>
      </c>
      <c r="G15" s="57">
        <f t="shared" ref="G15" si="2">IFERROR(E15*F15,"")</f>
        <v>757.16000000000008</v>
      </c>
      <c r="H15" s="35">
        <f>'Вихідні дані'!D72+'Вихідні дані'!D41+'Вихідні дані'!D10</f>
        <v>25</v>
      </c>
    </row>
    <row r="16" spans="1:8" x14ac:dyDescent="0.3">
      <c r="A16" s="53">
        <v>10</v>
      </c>
      <c r="B16" s="54">
        <v>1013008</v>
      </c>
      <c r="C16" s="55" t="str">
        <f>_xlfn.IFNA(VLOOKUP(B16,'Price_List 2023 UA'!B:G,2,FALSE),"")</f>
        <v>Uponor Vario S Сервопривід для стал. колекторів NC 24V FT30x1,5</v>
      </c>
      <c r="D16" s="56">
        <f>_xlfn.IFNA(VLOOKUP(B16,'Price_List 2023 UA'!B:G,3,),"")</f>
        <v>32.92</v>
      </c>
      <c r="E16" s="56">
        <f t="shared" ref="E16" si="3">IFERROR(D16*(1-$E$4),"")</f>
        <v>32.92</v>
      </c>
      <c r="F16" s="34">
        <v>0</v>
      </c>
      <c r="G16" s="57">
        <f t="shared" ref="G16" si="4">IFERROR(E16*F16,"")</f>
        <v>0</v>
      </c>
      <c r="H16" s="35">
        <v>0</v>
      </c>
    </row>
    <row r="17" spans="1:8" x14ac:dyDescent="0.3">
      <c r="A17" s="53">
        <v>12</v>
      </c>
      <c r="B17" s="54">
        <v>1083575</v>
      </c>
      <c r="C17" s="55" t="str">
        <f>_xlfn.IFNA(VLOOKUP(B17,'Price_List 2023 UA'!B:G,2,FALSE),"")</f>
        <v>Uponor Vario Сервопривід Retrofit з насадками A-XXX 24V, NC, 1W</v>
      </c>
      <c r="D17" s="56">
        <f>_xlfn.IFNA(VLOOKUP(B17,'Price_List 2023 UA'!B:G,3,),"")</f>
        <v>49.48</v>
      </c>
      <c r="E17" s="56">
        <f t="shared" si="0"/>
        <v>49.48</v>
      </c>
      <c r="F17" s="34">
        <v>0</v>
      </c>
      <c r="G17" s="57">
        <f t="shared" si="1"/>
        <v>0</v>
      </c>
      <c r="H17" s="35">
        <v>0</v>
      </c>
    </row>
    <row r="18" spans="1:8" x14ac:dyDescent="0.3">
      <c r="A18" s="53">
        <v>13</v>
      </c>
      <c r="B18" s="54" t="str">
        <f>IF('Вихідні дані'!$C$3="Дротова","",1071660)</f>
        <v/>
      </c>
      <c r="C18" s="55" t="str">
        <f>_xlfn.IFNA(VLOOKUP(B18,'Price_List 2023 UA'!B:G,2,FALSE),"")</f>
        <v/>
      </c>
      <c r="D18" s="56" t="str">
        <f>_xlfn.IFNA(VLOOKUP(B18,'Price_List 2023 UA'!B:G,3,),"")</f>
        <v/>
      </c>
      <c r="E18" s="56" t="str">
        <f t="shared" si="0"/>
        <v/>
      </c>
      <c r="F18" s="34">
        <v>0</v>
      </c>
      <c r="G18" s="57" t="str">
        <f>IFERROR(E18*F18,"")</f>
        <v/>
      </c>
      <c r="H18" s="35">
        <f>IF('Вихідні дані'!C3="Дротова",0,SUM('Вихідні дані'!F33,'Вихідні дані'!F64,'Вихідні дані'!F95))</f>
        <v>0</v>
      </c>
    </row>
    <row r="19" spans="1:8" x14ac:dyDescent="0.3">
      <c r="A19" s="53">
        <v>13</v>
      </c>
      <c r="B19" s="54" t="str">
        <f>IF('Вихідні дані'!$C$3="Дротова","",1071673)</f>
        <v/>
      </c>
      <c r="C19" s="55" t="str">
        <f>_xlfn.IFNA(VLOOKUP(B19,'Price_List 2023 UA'!B:G,2,FALSE),"")</f>
        <v/>
      </c>
      <c r="D19" s="56" t="str">
        <f>_xlfn.IFNA(VLOOKUP(B19,'Price_List 2023 UA'!B:G,3,),"")</f>
        <v/>
      </c>
      <c r="E19" s="56" t="str">
        <f t="shared" si="0"/>
        <v/>
      </c>
      <c r="F19" s="34">
        <v>0</v>
      </c>
      <c r="G19" s="57" t="str">
        <f t="shared" ref="G19:G26" si="5">IFERROR(E19*F19,"")</f>
        <v/>
      </c>
      <c r="H19" s="35">
        <v>0</v>
      </c>
    </row>
    <row r="20" spans="1:8" x14ac:dyDescent="0.3">
      <c r="A20" s="53">
        <v>14</v>
      </c>
      <c r="B20" s="54">
        <v>1005100</v>
      </c>
      <c r="C20" s="55" t="str">
        <f>_xlfn.IFNA(VLOOKUP(B20,'Price_List 2023 UA'!B:G,2,FALSE),"")</f>
        <v>Uponor Vario Комплект балансув. клапанів G1 - Rp1</v>
      </c>
      <c r="D20" s="56">
        <f>_xlfn.IFNA(VLOOKUP(B20,'Price_List 2023 UA'!B:G,3,),"")</f>
        <v>75.22</v>
      </c>
      <c r="E20" s="56">
        <f t="shared" si="0"/>
        <v>75.22</v>
      </c>
      <c r="F20" s="34">
        <v>0</v>
      </c>
      <c r="G20" s="57">
        <f t="shared" si="5"/>
        <v>0</v>
      </c>
      <c r="H20" s="35">
        <f>SUM('Вихідні дані'!B100,'Вихідні дані'!D100,'Вихідні дані'!B69,'Вихідні дані'!D69,'Вихідні дані'!B38,'Вихідні дані'!D38)</f>
        <v>0</v>
      </c>
    </row>
    <row r="21" spans="1:8" x14ac:dyDescent="0.3">
      <c r="A21" s="49">
        <v>11</v>
      </c>
      <c r="B21" s="54">
        <v>1005605</v>
      </c>
      <c r="C21" s="55" t="str">
        <f>_xlfn.IFNA(VLOOKUP(B21,'Price_List 2023 UA'!B:G,2,FALSE),"")</f>
        <v>Uponor Vario PLUS Сервопривід для баланс. клапанів NC 230V MT30x1,5</v>
      </c>
      <c r="D21" s="56">
        <f>_xlfn.IFNA(VLOOKUP(B21,'Price_List 2023 UA'!B:G,3,),"")</f>
        <v>32.92</v>
      </c>
      <c r="E21" s="56">
        <f t="shared" si="0"/>
        <v>32.92</v>
      </c>
      <c r="F21" s="34">
        <v>0</v>
      </c>
      <c r="G21" s="57">
        <f t="shared" ref="G21" si="6">IFERROR(E21*F21,"")</f>
        <v>0</v>
      </c>
      <c r="H21" s="35">
        <f>H20</f>
        <v>0</v>
      </c>
    </row>
    <row r="22" spans="1:8" s="58" customFormat="1" x14ac:dyDescent="0.3">
      <c r="A22" s="53">
        <v>18</v>
      </c>
      <c r="B22" s="54">
        <v>1005675</v>
      </c>
      <c r="C22" s="55" t="str">
        <f>_xlfn.IFNA(VLOOKUP(B22,'Price_List 2023 UA'!B:G,2,FALSE),"")</f>
        <v>Uponor Fluvia Трійник Y-подібний під Євроконус 2xG3/4-3/4"Euro</v>
      </c>
      <c r="D22" s="56">
        <f>_xlfn.IFNA(VLOOKUP(B22,'Price_List 2023 UA'!B:G,3,),"")</f>
        <v>69.38</v>
      </c>
      <c r="E22" s="56">
        <f t="shared" si="0"/>
        <v>69.38</v>
      </c>
      <c r="F22" s="34">
        <v>0</v>
      </c>
      <c r="G22" s="56">
        <f t="shared" ref="G22" si="7">E22*F22</f>
        <v>0</v>
      </c>
      <c r="H22" s="35"/>
    </row>
    <row r="23" spans="1:8" x14ac:dyDescent="0.3">
      <c r="A23" s="53">
        <v>14</v>
      </c>
      <c r="B23" s="54">
        <v>1119443</v>
      </c>
      <c r="C23" s="55" t="str">
        <f>_xlfn.IFNA(VLOOKUP(B23,'Price_List 2023 UA'!B:G,2,FALSE),"")</f>
        <v>Uponor Fluvia T Насосно-змішувальна група KRS-6</v>
      </c>
      <c r="D23" s="56">
        <f>_xlfn.IFNA(VLOOKUP(B23,'Price_List 2023 UA'!B:G,3,),"")</f>
        <v>937.46</v>
      </c>
      <c r="E23" s="56">
        <f t="shared" si="0"/>
        <v>937.46</v>
      </c>
      <c r="F23" s="34">
        <v>0</v>
      </c>
      <c r="G23" s="57">
        <f t="shared" si="5"/>
        <v>0</v>
      </c>
      <c r="H23" s="35"/>
    </row>
    <row r="24" spans="1:8" x14ac:dyDescent="0.3">
      <c r="A24" s="53">
        <v>14</v>
      </c>
      <c r="B24" s="33">
        <v>1087821</v>
      </c>
      <c r="C24" s="55" t="str">
        <f>_xlfn.IFNA(VLOOKUP(B24,'Price_List 2023 UA'!B:G,2,FALSE),"")</f>
        <v>Uponor Smatrix Base Настінна панель біла Style T-149 A-14X</v>
      </c>
      <c r="D24" s="56">
        <f>_xlfn.IFNA(VLOOKUP(B24,'Price_List 2023 UA'!B:G,3,),"")</f>
        <v>9.4499999999999993</v>
      </c>
      <c r="E24" s="56">
        <f t="shared" si="0"/>
        <v>9.4499999999999993</v>
      </c>
      <c r="F24" s="34">
        <v>0</v>
      </c>
      <c r="G24" s="57">
        <f t="shared" si="5"/>
        <v>0</v>
      </c>
      <c r="H24" s="36"/>
    </row>
    <row r="25" spans="1:8" x14ac:dyDescent="0.3">
      <c r="A25" s="53">
        <v>14</v>
      </c>
      <c r="B25" s="33"/>
      <c r="C25" s="55" t="str">
        <f>_xlfn.IFNA(VLOOKUP(B25,'Price_List 2023 UA'!B:G,2,FALSE),"")</f>
        <v/>
      </c>
      <c r="D25" s="56" t="str">
        <f>_xlfn.IFNA(VLOOKUP(B25,'Price_List 2023 UA'!B:G,3,),"")</f>
        <v/>
      </c>
      <c r="E25" s="56" t="str">
        <f t="shared" si="0"/>
        <v/>
      </c>
      <c r="F25" s="34">
        <v>0</v>
      </c>
      <c r="G25" s="57" t="str">
        <f t="shared" si="5"/>
        <v/>
      </c>
      <c r="H25" s="36"/>
    </row>
    <row r="26" spans="1:8" x14ac:dyDescent="0.3">
      <c r="A26" s="53">
        <v>14</v>
      </c>
      <c r="B26" s="37"/>
      <c r="C26" s="55" t="str">
        <f>_xlfn.IFNA(VLOOKUP(B26,'Price_List 2023 UA'!B:G,2,FALSE),"")</f>
        <v/>
      </c>
      <c r="D26" s="56" t="str">
        <f>_xlfn.IFNA(VLOOKUP(B26,'Price_List 2023 UA'!B:G,3,),"")</f>
        <v/>
      </c>
      <c r="E26" s="59" t="str">
        <f>IFERROR(D26*(1-$E$4),"")</f>
        <v/>
      </c>
      <c r="F26" s="34">
        <v>0</v>
      </c>
      <c r="G26" s="60" t="str">
        <f t="shared" si="5"/>
        <v/>
      </c>
      <c r="H26" s="36"/>
    </row>
    <row r="27" spans="1:8" ht="42.95" customHeight="1" x14ac:dyDescent="0.3">
      <c r="B27" s="61"/>
      <c r="C27" s="61"/>
      <c r="D27" s="62" t="s">
        <v>114</v>
      </c>
      <c r="E27" s="63"/>
      <c r="F27" s="63"/>
      <c r="G27" s="64">
        <f>SUM(G7:G26)</f>
        <v>4692.09</v>
      </c>
      <c r="H27" s="38"/>
    </row>
    <row r="28" spans="1:8" x14ac:dyDescent="0.3">
      <c r="A28" s="65" t="s">
        <v>65</v>
      </c>
    </row>
  </sheetData>
  <sheetProtection algorithmName="SHA-512" hashValue="fS8k9jJQCeyUJOLuSxeD9CsK0NjATt3jIqDsYeMsGgKT2ecL/HPEcfDtDk17qLwmr8mmT6MDOUCWp5v5g5vXgQ==" saltValue="j1yeQNRvyhPKDFwwyq8Sog==" spinCount="100000" sheet="1" objects="1" scenarios="1" autoFilter="0"/>
  <autoFilter ref="B5:H27" xr:uid="{00000000-0009-0000-0000-000007000000}"/>
  <mergeCells count="2">
    <mergeCell ref="A2:G2"/>
    <mergeCell ref="A1:H1"/>
  </mergeCells>
  <conditionalFormatting sqref="B29:B1048576 B3:B4">
    <cfRule type="duplicateValues" dxfId="51" priority="233"/>
  </conditionalFormatting>
  <conditionalFormatting sqref="B29:B1048576">
    <cfRule type="duplicateValues" dxfId="50" priority="232"/>
  </conditionalFormatting>
  <conditionalFormatting sqref="B29:B1048576">
    <cfRule type="duplicateValues" dxfId="49" priority="234"/>
  </conditionalFormatting>
  <conditionalFormatting sqref="B28">
    <cfRule type="duplicateValues" dxfId="48" priority="227"/>
  </conditionalFormatting>
  <conditionalFormatting sqref="B28">
    <cfRule type="duplicateValues" dxfId="47" priority="226"/>
  </conditionalFormatting>
  <conditionalFormatting sqref="B28">
    <cfRule type="duplicateValues" dxfId="46" priority="228"/>
  </conditionalFormatting>
  <conditionalFormatting sqref="A6">
    <cfRule type="duplicateValues" dxfId="45" priority="225"/>
  </conditionalFormatting>
  <conditionalFormatting sqref="A5:G5">
    <cfRule type="duplicateValues" dxfId="44" priority="179"/>
  </conditionalFormatting>
  <conditionalFormatting sqref="B6">
    <cfRule type="duplicateValues" dxfId="43" priority="138"/>
  </conditionalFormatting>
  <conditionalFormatting sqref="C6">
    <cfRule type="duplicateValues" dxfId="42" priority="137"/>
  </conditionalFormatting>
  <conditionalFormatting sqref="B27">
    <cfRule type="duplicateValues" dxfId="41" priority="116"/>
  </conditionalFormatting>
  <conditionalFormatting sqref="B27">
    <cfRule type="duplicateValues" dxfId="40" priority="115"/>
  </conditionalFormatting>
  <conditionalFormatting sqref="B27">
    <cfRule type="duplicateValues" dxfId="39" priority="117"/>
  </conditionalFormatting>
  <conditionalFormatting sqref="B14">
    <cfRule type="duplicateValues" dxfId="38" priority="112"/>
  </conditionalFormatting>
  <conditionalFormatting sqref="B10">
    <cfRule type="duplicateValues" dxfId="37" priority="113"/>
  </conditionalFormatting>
  <conditionalFormatting sqref="A19 A10 A12">
    <cfRule type="duplicateValues" dxfId="36" priority="118"/>
  </conditionalFormatting>
  <conditionalFormatting sqref="B17">
    <cfRule type="duplicateValues" dxfId="35" priority="109"/>
  </conditionalFormatting>
  <conditionalFormatting sqref="B9">
    <cfRule type="duplicateValues" dxfId="34" priority="106"/>
  </conditionalFormatting>
  <conditionalFormatting sqref="A17 A13:A14 A9">
    <cfRule type="duplicateValues" dxfId="33" priority="107"/>
  </conditionalFormatting>
  <conditionalFormatting sqref="B19">
    <cfRule type="duplicateValues" dxfId="32" priority="105"/>
  </conditionalFormatting>
  <conditionalFormatting sqref="B12">
    <cfRule type="duplicateValues" dxfId="31" priority="104"/>
  </conditionalFormatting>
  <conditionalFormatting sqref="B26">
    <cfRule type="duplicateValues" dxfId="30" priority="100"/>
  </conditionalFormatting>
  <conditionalFormatting sqref="A26">
    <cfRule type="duplicateValues" dxfId="29" priority="101"/>
  </conditionalFormatting>
  <conditionalFormatting sqref="B20">
    <cfRule type="duplicateValues" dxfId="28" priority="98"/>
  </conditionalFormatting>
  <conditionalFormatting sqref="A20">
    <cfRule type="duplicateValues" dxfId="27" priority="99"/>
  </conditionalFormatting>
  <conditionalFormatting sqref="A18">
    <cfRule type="duplicateValues" dxfId="26" priority="87"/>
  </conditionalFormatting>
  <conditionalFormatting sqref="B18">
    <cfRule type="duplicateValues" dxfId="25" priority="86"/>
  </conditionalFormatting>
  <conditionalFormatting sqref="A11">
    <cfRule type="duplicateValues" dxfId="24" priority="85"/>
  </conditionalFormatting>
  <conditionalFormatting sqref="B11">
    <cfRule type="duplicateValues" dxfId="23" priority="84"/>
  </conditionalFormatting>
  <conditionalFormatting sqref="B13">
    <cfRule type="duplicateValues" dxfId="22" priority="240"/>
  </conditionalFormatting>
  <conditionalFormatting sqref="B7">
    <cfRule type="duplicateValues" dxfId="21" priority="76"/>
  </conditionalFormatting>
  <conditionalFormatting sqref="A7">
    <cfRule type="duplicateValues" dxfId="20" priority="77"/>
  </conditionalFormatting>
  <conditionalFormatting sqref="B8">
    <cfRule type="duplicateValues" dxfId="19" priority="74"/>
  </conditionalFormatting>
  <conditionalFormatting sqref="A8">
    <cfRule type="duplicateValues" dxfId="18" priority="75"/>
  </conditionalFormatting>
  <conditionalFormatting sqref="B25">
    <cfRule type="duplicateValues" dxfId="17" priority="15"/>
  </conditionalFormatting>
  <conditionalFormatting sqref="A25">
    <cfRule type="duplicateValues" dxfId="16" priority="16"/>
  </conditionalFormatting>
  <conditionalFormatting sqref="B24">
    <cfRule type="duplicateValues" dxfId="15" priority="13"/>
  </conditionalFormatting>
  <conditionalFormatting sqref="A24">
    <cfRule type="duplicateValues" dxfId="14" priority="14"/>
  </conditionalFormatting>
  <conditionalFormatting sqref="B23">
    <cfRule type="duplicateValues" dxfId="13" priority="11"/>
  </conditionalFormatting>
  <conditionalFormatting sqref="A23">
    <cfRule type="duplicateValues" dxfId="12" priority="12"/>
  </conditionalFormatting>
  <conditionalFormatting sqref="B22">
    <cfRule type="duplicateValues" dxfId="11" priority="9"/>
  </conditionalFormatting>
  <conditionalFormatting sqref="A22">
    <cfRule type="duplicateValues" dxfId="10" priority="10"/>
  </conditionalFormatting>
  <conditionalFormatting sqref="H5">
    <cfRule type="duplicateValues" dxfId="9" priority="8"/>
  </conditionalFormatting>
  <conditionalFormatting sqref="A15">
    <cfRule type="duplicateValues" dxfId="8" priority="7"/>
  </conditionalFormatting>
  <conditionalFormatting sqref="B15">
    <cfRule type="duplicateValues" dxfId="7" priority="6"/>
  </conditionalFormatting>
  <conditionalFormatting sqref="B21">
    <cfRule type="duplicateValues" dxfId="6" priority="3"/>
  </conditionalFormatting>
  <conditionalFormatting sqref="A21">
    <cfRule type="duplicateValues" dxfId="5" priority="5"/>
  </conditionalFormatting>
  <conditionalFormatting sqref="A16">
    <cfRule type="duplicateValues" dxfId="4" priority="2"/>
  </conditionalFormatting>
  <conditionalFormatting sqref="B16">
    <cfRule type="duplicateValues" dxfId="3" priority="1"/>
  </conditionalFormatting>
  <pageMargins left="0.70866141732283472" right="0.70866141732283472" top="0.74803149606299213" bottom="0.74803149606299213" header="0.31496062992125984" footer="0.31496062992125984"/>
  <pageSetup paperSize="9" scale="61" orientation="portrait" horizontalDpi="4294967292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>
    <tabColor rgb="FF0062C8"/>
    <pageSetUpPr fitToPage="1"/>
  </sheetPr>
  <dimension ref="A1:E136"/>
  <sheetViews>
    <sheetView view="pageBreakPreview" topLeftCell="A90" zoomScaleNormal="100" zoomScaleSheetLayoutView="100" workbookViewId="0">
      <selection activeCell="I131" sqref="I131"/>
    </sheetView>
  </sheetViews>
  <sheetFormatPr defaultRowHeight="15" x14ac:dyDescent="0.25"/>
  <cols>
    <col min="1" max="1" width="7.28515625" bestFit="1" customWidth="1"/>
    <col min="2" max="2" width="49.85546875" customWidth="1"/>
    <col min="3" max="3" width="14.85546875" bestFit="1" customWidth="1"/>
    <col min="4" max="4" width="7.28515625" customWidth="1"/>
    <col min="5" max="5" width="9.7109375" customWidth="1"/>
    <col min="11" max="11" width="6.5703125" customWidth="1"/>
  </cols>
  <sheetData>
    <row r="1" s="16" customFormat="1" x14ac:dyDescent="0.25"/>
    <row r="2" s="16" customFormat="1" x14ac:dyDescent="0.25"/>
    <row r="3" s="16" customFormat="1" x14ac:dyDescent="0.25"/>
    <row r="4" s="16" customFormat="1" x14ac:dyDescent="0.25"/>
    <row r="5" s="16" customFormat="1" x14ac:dyDescent="0.25"/>
    <row r="6" s="16" customFormat="1" x14ac:dyDescent="0.25"/>
    <row r="7" s="16" customFormat="1" x14ac:dyDescent="0.25"/>
    <row r="8" s="16" customFormat="1" x14ac:dyDescent="0.25"/>
    <row r="9" s="16" customFormat="1" x14ac:dyDescent="0.25"/>
    <row r="10" s="16" customFormat="1" x14ac:dyDescent="0.25"/>
    <row r="11" s="16" customFormat="1" x14ac:dyDescent="0.25"/>
    <row r="12" s="16" customFormat="1" x14ac:dyDescent="0.25"/>
    <row r="13" s="16" customFormat="1" x14ac:dyDescent="0.25"/>
    <row r="14" s="16" customFormat="1" x14ac:dyDescent="0.25"/>
    <row r="15" s="16" customFormat="1" x14ac:dyDescent="0.25"/>
    <row r="16" s="16" customFormat="1" x14ac:dyDescent="0.25"/>
    <row r="17" s="16" customFormat="1" x14ac:dyDescent="0.25"/>
    <row r="18" s="16" customFormat="1" x14ac:dyDescent="0.25"/>
    <row r="19" s="16" customFormat="1" x14ac:dyDescent="0.25"/>
    <row r="20" s="16" customFormat="1" x14ac:dyDescent="0.25"/>
    <row r="21" s="16" customFormat="1" x14ac:dyDescent="0.25"/>
    <row r="22" s="16" customFormat="1" x14ac:dyDescent="0.25"/>
    <row r="23" s="16" customFormat="1" x14ac:dyDescent="0.25"/>
    <row r="24" s="16" customFormat="1" x14ac:dyDescent="0.25"/>
    <row r="25" s="16" customFormat="1" x14ac:dyDescent="0.25"/>
    <row r="26" s="16" customFormat="1" x14ac:dyDescent="0.25"/>
    <row r="27" s="16" customFormat="1" x14ac:dyDescent="0.25"/>
    <row r="28" s="16" customFormat="1" x14ac:dyDescent="0.25"/>
    <row r="29" s="16" customFormat="1" x14ac:dyDescent="0.25"/>
    <row r="30" s="16" customFormat="1" x14ac:dyDescent="0.25"/>
    <row r="31" s="16" customFormat="1" x14ac:dyDescent="0.25"/>
    <row r="32" s="16" customFormat="1" x14ac:dyDescent="0.25"/>
    <row r="33" s="16" customFormat="1" x14ac:dyDescent="0.25"/>
    <row r="34" s="16" customFormat="1" x14ac:dyDescent="0.25"/>
    <row r="35" s="16" customFormat="1" x14ac:dyDescent="0.25"/>
    <row r="36" s="16" customFormat="1" x14ac:dyDescent="0.25"/>
    <row r="37" s="16" customFormat="1" x14ac:dyDescent="0.25"/>
    <row r="38" s="16" customFormat="1" x14ac:dyDescent="0.25"/>
    <row r="39" s="16" customFormat="1" x14ac:dyDescent="0.25"/>
    <row r="40" s="16" customFormat="1" x14ac:dyDescent="0.25"/>
    <row r="41" s="16" customFormat="1" x14ac:dyDescent="0.25"/>
    <row r="42" s="16" customFormat="1" x14ac:dyDescent="0.25"/>
    <row r="43" s="16" customFormat="1" x14ac:dyDescent="0.25"/>
    <row r="44" s="16" customFormat="1" x14ac:dyDescent="0.25"/>
    <row r="45" s="16" customFormat="1" x14ac:dyDescent="0.25"/>
    <row r="46" s="16" customFormat="1" x14ac:dyDescent="0.25"/>
    <row r="47" s="16" customFormat="1" x14ac:dyDescent="0.25"/>
    <row r="48" s="16" customFormat="1" x14ac:dyDescent="0.25"/>
    <row r="49" s="16" customFormat="1" x14ac:dyDescent="0.25"/>
    <row r="50" s="16" customFormat="1" x14ac:dyDescent="0.25"/>
    <row r="51" s="16" customFormat="1" x14ac:dyDescent="0.25"/>
    <row r="52" s="16" customFormat="1" x14ac:dyDescent="0.25"/>
    <row r="53" s="16" customFormat="1" x14ac:dyDescent="0.25"/>
    <row r="54" s="16" customFormat="1" x14ac:dyDescent="0.25"/>
    <row r="55" s="16" customFormat="1" x14ac:dyDescent="0.25"/>
    <row r="56" s="16" customFormat="1" x14ac:dyDescent="0.25"/>
    <row r="57" s="16" customFormat="1" x14ac:dyDescent="0.25"/>
    <row r="58" s="16" customFormat="1" x14ac:dyDescent="0.25"/>
    <row r="59" s="16" customFormat="1" x14ac:dyDescent="0.25"/>
    <row r="60" s="16" customFormat="1" x14ac:dyDescent="0.25"/>
    <row r="61" s="16" customFormat="1" x14ac:dyDescent="0.25"/>
    <row r="62" s="16" customFormat="1" x14ac:dyDescent="0.25"/>
    <row r="63" s="16" customFormat="1" x14ac:dyDescent="0.25"/>
    <row r="64" s="16" customFormat="1" x14ac:dyDescent="0.25"/>
    <row r="65" s="16" customFormat="1" x14ac:dyDescent="0.25"/>
    <row r="66" s="16" customFormat="1" x14ac:dyDescent="0.25"/>
    <row r="67" s="16" customFormat="1" x14ac:dyDescent="0.25"/>
    <row r="68" s="16" customFormat="1" x14ac:dyDescent="0.25"/>
    <row r="69" s="16" customFormat="1" x14ac:dyDescent="0.25"/>
    <row r="70" s="16" customFormat="1" x14ac:dyDescent="0.25"/>
    <row r="71" s="16" customFormat="1" x14ac:dyDescent="0.25"/>
    <row r="72" s="16" customFormat="1" x14ac:dyDescent="0.25"/>
    <row r="73" s="16" customFormat="1" x14ac:dyDescent="0.25"/>
    <row r="74" s="16" customFormat="1" x14ac:dyDescent="0.25"/>
    <row r="75" s="16" customFormat="1" x14ac:dyDescent="0.25"/>
    <row r="76" s="16" customFormat="1" x14ac:dyDescent="0.25"/>
    <row r="77" s="16" customFormat="1" x14ac:dyDescent="0.25"/>
    <row r="78" s="16" customFormat="1" x14ac:dyDescent="0.25"/>
    <row r="79" s="16" customFormat="1" x14ac:dyDescent="0.25"/>
    <row r="80" s="16" customFormat="1" x14ac:dyDescent="0.25"/>
    <row r="81" s="16" customFormat="1" x14ac:dyDescent="0.25"/>
    <row r="82" s="16" customFormat="1" x14ac:dyDescent="0.25"/>
    <row r="83" s="16" customFormat="1" x14ac:dyDescent="0.25"/>
    <row r="84" s="16" customFormat="1" x14ac:dyDescent="0.25"/>
    <row r="85" s="16" customFormat="1" x14ac:dyDescent="0.25"/>
    <row r="86" s="16" customFormat="1" x14ac:dyDescent="0.25"/>
    <row r="87" s="16" customFormat="1" x14ac:dyDescent="0.25"/>
    <row r="88" s="16" customFormat="1" x14ac:dyDescent="0.25"/>
    <row r="89" s="16" customFormat="1" x14ac:dyDescent="0.25"/>
    <row r="90" s="16" customFormat="1" x14ac:dyDescent="0.25"/>
    <row r="91" s="16" customFormat="1" x14ac:dyDescent="0.25"/>
    <row r="92" s="16" customFormat="1" x14ac:dyDescent="0.25"/>
    <row r="93" s="16" customFormat="1" x14ac:dyDescent="0.25"/>
    <row r="94" s="16" customFormat="1" x14ac:dyDescent="0.25"/>
    <row r="95" s="16" customFormat="1" x14ac:dyDescent="0.25"/>
    <row r="96" s="16" customFormat="1" x14ac:dyDescent="0.25"/>
    <row r="97" spans="1:5" s="16" customFormat="1" x14ac:dyDescent="0.25"/>
    <row r="98" spans="1:5" s="16" customFormat="1" x14ac:dyDescent="0.25"/>
    <row r="99" spans="1:5" s="16" customFormat="1" x14ac:dyDescent="0.25"/>
    <row r="100" spans="1:5" s="16" customFormat="1" x14ac:dyDescent="0.25"/>
    <row r="101" spans="1:5" s="16" customFormat="1" x14ac:dyDescent="0.25"/>
    <row r="102" spans="1:5" ht="40.5" x14ac:dyDescent="0.25">
      <c r="A102" s="68" t="str">
        <f>Специфікація!B5</f>
        <v>Артикул</v>
      </c>
      <c r="B102" s="69" t="str">
        <f>Специфікація!C5</f>
        <v>Опис</v>
      </c>
      <c r="C102" s="69" t="str">
        <f>Специфікація!D5</f>
        <v>Ціна за од. 
з ПДВ, Євро</v>
      </c>
      <c r="D102" s="69" t="str">
        <f>Специфікація!F5</f>
        <v>К-ть, шт</v>
      </c>
      <c r="E102" s="69" t="str">
        <f>Специфікація!G5</f>
        <v>Вартість 
з ПДВ, Євро</v>
      </c>
    </row>
    <row r="103" spans="1:5" s="16" customFormat="1" ht="15.75" x14ac:dyDescent="0.3">
      <c r="A103" s="70"/>
      <c r="B103" s="173" t="str">
        <f>Специфікація!C6</f>
        <v>Дротова автоматика Uponor Smatrix Pulse</v>
      </c>
      <c r="C103" s="173"/>
      <c r="D103" s="173"/>
      <c r="E103" s="70"/>
    </row>
    <row r="104" spans="1:5" ht="15.75" x14ac:dyDescent="0.3">
      <c r="A104" s="71">
        <f>Специфікація!B7</f>
        <v>1093017</v>
      </c>
      <c r="B104" s="71" t="str">
        <f>Специфікація!C7</f>
        <v>Uponor Smatrix Base Контролер Pulse X-245 BUS 6X</v>
      </c>
      <c r="C104" s="72">
        <f>Специфікація!D7</f>
        <v>310.33</v>
      </c>
      <c r="D104" s="72">
        <f>Специфікація!F7</f>
        <v>2</v>
      </c>
      <c r="E104" s="73">
        <f t="shared" ref="E104:E122" si="0">IFERROR(D104*C104,"")</f>
        <v>620.66</v>
      </c>
    </row>
    <row r="105" spans="1:5" ht="15.75" x14ac:dyDescent="0.3">
      <c r="A105" s="74">
        <f>Специфікація!B8</f>
        <v>1093134</v>
      </c>
      <c r="B105" s="74" t="str">
        <f>Специфікація!C8</f>
        <v>Uponor Smatrix Base Модуль розширення Pulse M-242 BUS 6X</v>
      </c>
      <c r="C105" s="75">
        <f>Специфікація!D8</f>
        <v>101.48</v>
      </c>
      <c r="D105" s="75">
        <f>Специфікація!F8</f>
        <v>2</v>
      </c>
      <c r="E105" s="73">
        <f t="shared" si="0"/>
        <v>202.96</v>
      </c>
    </row>
    <row r="106" spans="1:5" ht="15.75" x14ac:dyDescent="0.3">
      <c r="A106" s="74">
        <f>Специфікація!B9</f>
        <v>1087813</v>
      </c>
      <c r="B106" s="74" t="str">
        <f>Специфікація!C9</f>
        <v>Uponor Smatrix Base Дротовий термогігрометр Style T-149 Bus</v>
      </c>
      <c r="C106" s="75">
        <f>Специфікація!D9</f>
        <v>142.84</v>
      </c>
      <c r="D106" s="75">
        <f>Специфікація!F9</f>
        <v>16</v>
      </c>
      <c r="E106" s="73">
        <f t="shared" si="0"/>
        <v>2285.44</v>
      </c>
    </row>
    <row r="107" spans="1:5" ht="15.75" hidden="1" x14ac:dyDescent="0.3">
      <c r="A107" s="74">
        <f>Специфікація!B10</f>
        <v>1087814</v>
      </c>
      <c r="B107" s="74" t="str">
        <f>Специфікація!C10</f>
        <v>Uponor Smatrix Base Дротовий термогігрометр Style T-149 Bus BLACK</v>
      </c>
      <c r="C107" s="75">
        <f>Специфікація!D10</f>
        <v>142.84</v>
      </c>
      <c r="D107" s="75">
        <f>Специфікація!F10</f>
        <v>0</v>
      </c>
      <c r="E107" s="73">
        <f t="shared" si="0"/>
        <v>0</v>
      </c>
    </row>
    <row r="108" spans="1:5" ht="15.75" hidden="1" x14ac:dyDescent="0.3">
      <c r="A108" s="74">
        <f>Специфікація!B11</f>
        <v>1087812</v>
      </c>
      <c r="B108" s="74" t="str">
        <f>Специфікація!C11</f>
        <v>Uponor Smatrix Base PRO Термостат +RH Style T-141 Bus FLUSH</v>
      </c>
      <c r="C108" s="75">
        <f>Специфікація!D11</f>
        <v>82.66</v>
      </c>
      <c r="D108" s="75">
        <f>Специфікація!F11</f>
        <v>0</v>
      </c>
      <c r="E108" s="73">
        <f t="shared" si="0"/>
        <v>0</v>
      </c>
    </row>
    <row r="109" spans="1:5" ht="15.75" hidden="1" x14ac:dyDescent="0.3">
      <c r="A109" s="74">
        <f>Специфікація!B12</f>
        <v>1086977</v>
      </c>
      <c r="B109" s="74" t="str">
        <f>Специфікація!C12</f>
        <v>Uponor Smatrix Base Дрот. термостат прогр. T-148 Bus RAL9016</v>
      </c>
      <c r="C109" s="75">
        <f>Специфікація!D12</f>
        <v>110.61</v>
      </c>
      <c r="D109" s="75">
        <f>Специфікація!F12</f>
        <v>0</v>
      </c>
      <c r="E109" s="73">
        <f t="shared" si="0"/>
        <v>0</v>
      </c>
    </row>
    <row r="110" spans="1:5" ht="15.75" x14ac:dyDescent="0.3">
      <c r="A110" s="74">
        <f>Специфікація!B13</f>
        <v>1093030</v>
      </c>
      <c r="B110" s="74" t="str">
        <f>Специфікація!C13</f>
        <v>Uponor Smatrix Модуль Wi-Fi Pulse com R-208</v>
      </c>
      <c r="C110" s="75">
        <f>Специфікація!D13</f>
        <v>825.87</v>
      </c>
      <c r="D110" s="75">
        <f>Специфікація!F13</f>
        <v>1</v>
      </c>
      <c r="E110" s="73">
        <f t="shared" si="0"/>
        <v>825.87</v>
      </c>
    </row>
    <row r="111" spans="1:5" ht="15.75" hidden="1" x14ac:dyDescent="0.3">
      <c r="A111" s="74">
        <f>Специфікація!B14</f>
        <v>1071684</v>
      </c>
      <c r="B111" s="74" t="str">
        <f>Специфікація!C14</f>
        <v>Uponor Smatrix Датчик виносний (підлоги) S-1XX</v>
      </c>
      <c r="C111" s="75">
        <f>Специфікація!D14</f>
        <v>11.9</v>
      </c>
      <c r="D111" s="75">
        <f>Специфікація!F14</f>
        <v>0</v>
      </c>
      <c r="E111" s="73">
        <f t="shared" si="0"/>
        <v>0</v>
      </c>
    </row>
    <row r="112" spans="1:5" ht="15.75" x14ac:dyDescent="0.3">
      <c r="A112" s="74">
        <f>Специфікація!B15</f>
        <v>1000138</v>
      </c>
      <c r="B112" s="74" t="str">
        <f>Специфікація!C15</f>
        <v>Uponor Vario PLUS Сервопривід для пласт. колекторів NC 24V MT30x1,5</v>
      </c>
      <c r="C112" s="75">
        <f>Специфікація!D15</f>
        <v>32.92</v>
      </c>
      <c r="D112" s="75">
        <f>Специфікація!F15</f>
        <v>23</v>
      </c>
      <c r="E112" s="73">
        <f t="shared" si="0"/>
        <v>757.16000000000008</v>
      </c>
    </row>
    <row r="113" spans="1:5" ht="15.75" hidden="1" x14ac:dyDescent="0.3">
      <c r="A113" s="74">
        <f>Специфікація!B16</f>
        <v>1013008</v>
      </c>
      <c r="B113" s="74" t="str">
        <f>Специфікація!C16</f>
        <v>Uponor Vario S Сервопривід для стал. колекторів NC 24V FT30x1,5</v>
      </c>
      <c r="C113" s="75">
        <f>Специфікація!D16</f>
        <v>32.92</v>
      </c>
      <c r="D113" s="75">
        <f>Специфікація!F16</f>
        <v>0</v>
      </c>
      <c r="E113" s="73">
        <f t="shared" ref="E113" si="1">IFERROR(D113*C113,"")</f>
        <v>0</v>
      </c>
    </row>
    <row r="114" spans="1:5" ht="15.75" hidden="1" x14ac:dyDescent="0.3">
      <c r="A114" s="74">
        <f>Специфікація!B17</f>
        <v>1083575</v>
      </c>
      <c r="B114" s="74" t="str">
        <f>Специфікація!C17</f>
        <v>Uponor Vario Сервопривід Retrofit з насадками A-XXX 24V, NC, 1W</v>
      </c>
      <c r="C114" s="75">
        <f>Специфікація!D17</f>
        <v>49.48</v>
      </c>
      <c r="D114" s="75">
        <f>Специфікація!F17</f>
        <v>0</v>
      </c>
      <c r="E114" s="73">
        <f t="shared" si="0"/>
        <v>0</v>
      </c>
    </row>
    <row r="115" spans="1:5" ht="15.75" hidden="1" x14ac:dyDescent="0.3">
      <c r="A115" s="74" t="str">
        <f>Специфікація!B18</f>
        <v/>
      </c>
      <c r="B115" s="74" t="str">
        <f>Специфікація!C18</f>
        <v/>
      </c>
      <c r="C115" s="75" t="str">
        <f>Специфікація!D18</f>
        <v/>
      </c>
      <c r="D115" s="75">
        <f>Специфікація!F18</f>
        <v>0</v>
      </c>
      <c r="E115" s="73" t="str">
        <f t="shared" si="0"/>
        <v/>
      </c>
    </row>
    <row r="116" spans="1:5" ht="15.75" hidden="1" x14ac:dyDescent="0.3">
      <c r="A116" s="74" t="str">
        <f>Специфікація!B19</f>
        <v/>
      </c>
      <c r="B116" s="74" t="str">
        <f>Специфікація!C19</f>
        <v/>
      </c>
      <c r="C116" s="75" t="str">
        <f>Специфікація!D19</f>
        <v/>
      </c>
      <c r="D116" s="75">
        <f>Специфікація!F19</f>
        <v>0</v>
      </c>
      <c r="E116" s="73" t="str">
        <f t="shared" si="0"/>
        <v/>
      </c>
    </row>
    <row r="117" spans="1:5" ht="15.75" hidden="1" x14ac:dyDescent="0.3">
      <c r="A117" s="74">
        <f>Специфікація!B20</f>
        <v>1005100</v>
      </c>
      <c r="B117" s="74" t="str">
        <f>Специфікація!C20</f>
        <v>Uponor Vario Комплект балансув. клапанів G1 - Rp1</v>
      </c>
      <c r="C117" s="75">
        <f>Специфікація!D20</f>
        <v>75.22</v>
      </c>
      <c r="D117" s="75">
        <f>Специфікація!F20</f>
        <v>0</v>
      </c>
      <c r="E117" s="73">
        <f t="shared" si="0"/>
        <v>0</v>
      </c>
    </row>
    <row r="118" spans="1:5" ht="15.75" hidden="1" x14ac:dyDescent="0.3">
      <c r="A118" s="74">
        <f>Специфікація!B21</f>
        <v>1005605</v>
      </c>
      <c r="B118" s="74" t="str">
        <f>Специфікація!C21</f>
        <v>Uponor Vario PLUS Сервопривід для баланс. клапанів NC 230V MT30x1,5</v>
      </c>
      <c r="C118" s="75">
        <f>Специфікація!D21</f>
        <v>32.92</v>
      </c>
      <c r="D118" s="75">
        <f>Специфікація!F21</f>
        <v>0</v>
      </c>
      <c r="E118" s="73">
        <f t="shared" si="0"/>
        <v>0</v>
      </c>
    </row>
    <row r="119" spans="1:5" ht="15.75" hidden="1" x14ac:dyDescent="0.3">
      <c r="A119" s="74">
        <f>Специфікація!B22</f>
        <v>1005675</v>
      </c>
      <c r="B119" s="74" t="str">
        <f>Специфікація!C22</f>
        <v>Uponor Fluvia Трійник Y-подібний під Євроконус 2xG3/4-3/4"Euro</v>
      </c>
      <c r="C119" s="75">
        <f>Специфікація!D22</f>
        <v>69.38</v>
      </c>
      <c r="D119" s="75">
        <f>Специфікація!F22</f>
        <v>0</v>
      </c>
      <c r="E119" s="73">
        <f t="shared" si="0"/>
        <v>0</v>
      </c>
    </row>
    <row r="120" spans="1:5" ht="15.75" hidden="1" x14ac:dyDescent="0.3">
      <c r="A120" s="74">
        <f>Специфікація!B23</f>
        <v>1119443</v>
      </c>
      <c r="B120" s="74" t="str">
        <f>Специфікація!C23</f>
        <v>Uponor Fluvia T Насосно-змішувальна група KRS-6</v>
      </c>
      <c r="C120" s="75">
        <f>Специфікація!D23</f>
        <v>937.46</v>
      </c>
      <c r="D120" s="75">
        <f>Специфікація!F23</f>
        <v>0</v>
      </c>
      <c r="E120" s="73">
        <f t="shared" si="0"/>
        <v>0</v>
      </c>
    </row>
    <row r="121" spans="1:5" ht="15.75" hidden="1" x14ac:dyDescent="0.3">
      <c r="A121" s="74">
        <f>Специфікація!B24</f>
        <v>1087821</v>
      </c>
      <c r="B121" s="74" t="str">
        <f>Специфікація!C24</f>
        <v>Uponor Smatrix Base Настінна панель біла Style T-149 A-14X</v>
      </c>
      <c r="C121" s="75">
        <f>Специфікація!D24</f>
        <v>9.4499999999999993</v>
      </c>
      <c r="D121" s="75">
        <f>Специфікація!F24</f>
        <v>0</v>
      </c>
      <c r="E121" s="73">
        <f t="shared" si="0"/>
        <v>0</v>
      </c>
    </row>
    <row r="122" spans="1:5" ht="15.75" hidden="1" x14ac:dyDescent="0.3">
      <c r="A122" s="74">
        <f>Специфікація!B25</f>
        <v>0</v>
      </c>
      <c r="B122" s="74" t="str">
        <f>Специфікація!C25</f>
        <v/>
      </c>
      <c r="C122" s="75" t="str">
        <f>Специфікація!D25</f>
        <v/>
      </c>
      <c r="D122" s="75">
        <f>Специфікація!F25</f>
        <v>0</v>
      </c>
      <c r="E122" s="73" t="str">
        <f t="shared" si="0"/>
        <v/>
      </c>
    </row>
    <row r="123" spans="1:5" ht="15.75" hidden="1" x14ac:dyDescent="0.3">
      <c r="A123" s="76">
        <f>Специфікація!B26</f>
        <v>0</v>
      </c>
      <c r="B123" s="76" t="str">
        <f>Специфікація!C26</f>
        <v/>
      </c>
      <c r="C123" s="77" t="str">
        <f>Специфікація!D26</f>
        <v/>
      </c>
      <c r="D123" s="77">
        <f>Специфікація!F26</f>
        <v>0</v>
      </c>
      <c r="E123" s="73" t="str">
        <f>IFERROR(D123*C123,"")</f>
        <v/>
      </c>
    </row>
    <row r="124" spans="1:5" x14ac:dyDescent="0.25">
      <c r="A124" s="78"/>
      <c r="B124" s="78"/>
      <c r="C124" s="78"/>
      <c r="D124" s="78" t="s">
        <v>14</v>
      </c>
      <c r="E124" s="79">
        <f>SUM(Специфікація!D7:D26)*Специфікація!E4</f>
        <v>0</v>
      </c>
    </row>
    <row r="125" spans="1:5" s="30" customFormat="1" ht="27" customHeight="1" x14ac:dyDescent="0.25">
      <c r="A125" s="78"/>
      <c r="B125" s="78"/>
      <c r="C125" s="78"/>
      <c r="D125" s="80" t="str">
        <f>Специфікація!D27</f>
        <v>Всього Євро,
 з ПДВ</v>
      </c>
      <c r="E125" s="79">
        <f>Специфікація!G27</f>
        <v>4692.09</v>
      </c>
    </row>
    <row r="126" spans="1:5" s="16" customFormat="1" x14ac:dyDescent="0.25"/>
    <row r="127" spans="1:5" s="16" customFormat="1" x14ac:dyDescent="0.25">
      <c r="A127" s="174" t="s">
        <v>124</v>
      </c>
      <c r="B127" s="174"/>
      <c r="C127" s="31"/>
      <c r="D127" s="31"/>
      <c r="E127" s="31"/>
    </row>
    <row r="128" spans="1:5" s="16" customFormat="1" ht="16.5" customHeight="1" x14ac:dyDescent="0.25">
      <c r="A128" s="171" t="s">
        <v>115</v>
      </c>
      <c r="B128" s="171"/>
      <c r="C128" s="31"/>
      <c r="D128" s="31"/>
      <c r="E128" s="31"/>
    </row>
    <row r="129" spans="1:5" s="16" customFormat="1" x14ac:dyDescent="0.25">
      <c r="A129" s="126" t="s">
        <v>116</v>
      </c>
      <c r="B129" s="127" t="s">
        <v>117</v>
      </c>
      <c r="C129" s="31"/>
      <c r="D129" s="31"/>
      <c r="E129" s="31"/>
    </row>
    <row r="130" spans="1:5" s="16" customFormat="1" x14ac:dyDescent="0.25">
      <c r="A130" s="126" t="s">
        <v>118</v>
      </c>
      <c r="B130" s="127" t="s">
        <v>119</v>
      </c>
      <c r="C130" s="31"/>
      <c r="D130" s="31"/>
      <c r="E130" s="31"/>
    </row>
    <row r="131" spans="1:5" s="16" customFormat="1" x14ac:dyDescent="0.25">
      <c r="A131" s="126" t="s">
        <v>120</v>
      </c>
      <c r="B131" s="128" t="s">
        <v>11</v>
      </c>
      <c r="C131" s="31"/>
      <c r="D131" s="31"/>
      <c r="E131" s="31"/>
    </row>
    <row r="132" spans="1:5" s="16" customFormat="1" x14ac:dyDescent="0.25">
      <c r="A132" s="129"/>
      <c r="B132" s="129"/>
      <c r="C132" s="31"/>
      <c r="D132" s="31"/>
      <c r="E132" s="31"/>
    </row>
    <row r="133" spans="1:5" s="16" customFormat="1" ht="16.5" customHeight="1" x14ac:dyDescent="0.25">
      <c r="A133" s="171" t="s">
        <v>121</v>
      </c>
      <c r="B133" s="171"/>
      <c r="C133" s="31"/>
      <c r="D133" s="31"/>
      <c r="E133" s="31"/>
    </row>
    <row r="134" spans="1:5" s="16" customFormat="1" ht="16.5" customHeight="1" x14ac:dyDescent="0.25">
      <c r="A134" s="171" t="s">
        <v>122</v>
      </c>
      <c r="B134" s="171"/>
      <c r="C134" s="31"/>
      <c r="D134" s="31"/>
      <c r="E134" s="31"/>
    </row>
    <row r="135" spans="1:5" s="16" customFormat="1" ht="16.5" customHeight="1" x14ac:dyDescent="0.25">
      <c r="A135" s="171" t="s">
        <v>123</v>
      </c>
      <c r="B135" s="171"/>
      <c r="C135" s="31"/>
      <c r="D135" s="31"/>
      <c r="E135" s="31"/>
    </row>
    <row r="136" spans="1:5" s="16" customFormat="1" ht="16.5" customHeight="1" x14ac:dyDescent="0.25">
      <c r="A136" s="172">
        <v>2105</v>
      </c>
      <c r="B136" s="172"/>
      <c r="C136" s="31"/>
      <c r="D136" s="31"/>
      <c r="E136" s="31"/>
    </row>
  </sheetData>
  <sheetProtection algorithmName="SHA-512" hashValue="oGTosLJLypJyAwfnXlb4HQkDW6Pt7OhOid/zZ5H6I3cZ2nYhZZvDF5YMHw4StfCt1fgAACN89MJGmntjInWAfw==" saltValue="3nsmRwoGKPFyaewalmg2Rw==" spinCount="100000" sheet="1" objects="1" scenarios="1" formatColumns="0" autoFilter="0"/>
  <autoFilter ref="A102:E125" xr:uid="{00000000-0009-0000-0000-000008000000}">
    <filterColumn colId="3">
      <filters blank="1">
        <filter val="1"/>
        <filter val="16"/>
        <filter val="2"/>
        <filter val="23"/>
        <filter val="Всього Євро,_x000a_ з ПДВ"/>
        <filter val="Знижка"/>
      </filters>
    </filterColumn>
  </autoFilter>
  <mergeCells count="7">
    <mergeCell ref="A134:B134"/>
    <mergeCell ref="A135:B135"/>
    <mergeCell ref="A136:B136"/>
    <mergeCell ref="B103:D103"/>
    <mergeCell ref="A127:B127"/>
    <mergeCell ref="A128:B128"/>
    <mergeCell ref="A133:B133"/>
  </mergeCells>
  <conditionalFormatting sqref="A125:E125">
    <cfRule type="duplicateValues" dxfId="2" priority="1026"/>
  </conditionalFormatting>
  <conditionalFormatting sqref="A102:E102">
    <cfRule type="duplicateValues" dxfId="1" priority="1027"/>
  </conditionalFormatting>
  <conditionalFormatting sqref="A124:E124">
    <cfRule type="duplicateValues" dxfId="0" priority="1"/>
  </conditionalFormatting>
  <hyperlinks>
    <hyperlink ref="B131" r:id="rId1" display="http://www.uponor.ua/" xr:uid="{00000000-0004-0000-08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2"/>
  <rowBreaks count="1" manualBreakCount="1">
    <brk id="96" max="4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7 7 7 f 0 8 a 7 - 0 7 6 f - 4 1 d 7 - a 0 6 a - a 7 c f 1 d 6 d 8 5 2 d "   x m l n s = " h t t p : / / s c h e m a s . m i c r o s o f t . c o m / D a t a M a s h u p " > A A A A A B g D A A B Q S w M E F A A C A A g A 2 p X d U k F i u B u o A A A A + A A A A B I A H A B D b 2 5 m a W c v U G F j a 2 F n Z S 5 4 b W w g o h g A K K A U A A A A A A A A A A A A A A A A A A A A A A A A A A A A h Y / N C o J A G E V f R W b v / F h J y e d I t E 0 I o m g 7 j J M O 6 h g 6 k 7 5 b i x 6 p V 0 g o q 1 3 L e z k X z n 3 c 7 p A M d e V d V d v p x s S I Y Y o 8 Z W S T a Z P H y N m z v 0 Q J h 5 2 Q p c i V N 8 K m i 4 Z O x 6 i w 9 h I R 0 v c 9 7 m e 4 a X M S U M r I K d 3 u Z a F q 4 W v T W W G k Q p 9 V 9 n + F O B x f M j z A I c M L t g r w P G R A p h p S b b 5 I M B p j C u S n h I 2 r r G s V d 6 V / W A O Z I p D 3 C / 4 E U E s D B B Q A A g A I A N q V 3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l d 1 S K I p H u A 4 A A A A R A A A A E w A c A E Z v c m 1 1 b G F z L 1 N l Y 3 R p b 2 4 x L m 0 g o h g A K K A U A A A A A A A A A A A A A A A A A A A A A A A A A A A A K 0 5 N L s n M z 1 M I h t C G 1 g B Q S w E C L Q A U A A I A C A D a l d 1 S Q W K 4 G 6 g A A A D 4 A A A A E g A A A A A A A A A A A A A A A A A A A A A A Q 2 9 u Z m l n L 1 B h Y 2 t h Z 2 U u e G 1 s U E s B A i 0 A F A A C A A g A 2 p X d U g / K 6 a u k A A A A 6 Q A A A B M A A A A A A A A A A A A A A A A A 9 A A A A F t D b 2 5 0 Z W 5 0 X 1 R 5 c G V z X S 5 4 b W x Q S w E C L Q A U A A I A C A D a l d 1 S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8 A D v q 7 3 M U W d r 9 t d Y w l 1 Y w A A A A A C A A A A A A A D Z g A A w A A A A B A A A A B K G l / w N h W 8 r B P g F 0 Q a N w n I A A A A A A S A A A C g A A A A E A A A A B e D 0 o M 3 4 9 t 0 r T Y Q S U B V x z Z Q A A A A j p k 6 N N G 4 O / M y q 2 L n m Y r S r t q u i f G Y S Q q S T l o v P O O G q o S m b v r 8 X B u k A B L E J 8 x 9 D r / F y 5 b Y 4 r C h J v b + L I Q 3 i R 1 / s u A Z l b B N 1 4 9 F k f O 8 s c 9 G 4 D Y U A A A A O 8 o M j P Z l X 9 X h t S s 7 m P u M V w w z a H c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FA1DC9A54C24F8DCAF2C156D8BF9E" ma:contentTypeVersion="14" ma:contentTypeDescription="Create a new document." ma:contentTypeScope="" ma:versionID="b915fce9867233ac1a35a3924a1c46b5">
  <xsd:schema xmlns:xsd="http://www.w3.org/2001/XMLSchema" xmlns:xs="http://www.w3.org/2001/XMLSchema" xmlns:p="http://schemas.microsoft.com/office/2006/metadata/properties" xmlns:ns3="3e0a144f-5725-4228-b70a-a79830014656" xmlns:ns4="a3601470-56e0-43a7-9107-5a8d8908f6e8" targetNamespace="http://schemas.microsoft.com/office/2006/metadata/properties" ma:root="true" ma:fieldsID="0c85e56cf7c69013623bf7fe34a3d1e7" ns3:_="" ns4:_="">
    <xsd:import namespace="3e0a144f-5725-4228-b70a-a79830014656"/>
    <xsd:import namespace="a3601470-56e0-43a7-9107-5a8d8908f6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a144f-5725-4228-b70a-a79830014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01470-56e0-43a7-9107-5a8d8908f6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8E2DBD-066F-46FC-BD36-B5E8C5CE3F1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0A4FC60-B60D-4E7D-BEC1-3AFBEE9533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D0A84C-7610-48DB-96F3-85647026A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0a144f-5725-4228-b70a-a79830014656"/>
    <ds:schemaRef ds:uri="a3601470-56e0-43a7-9107-5a8d8908f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22AB7F6-EFB3-4FCD-830D-FA7A2E363B92}">
  <ds:schemaRefs>
    <ds:schemaRef ds:uri="http://purl.org/dc/elements/1.1/"/>
    <ds:schemaRef ds:uri="http://schemas.microsoft.com/office/2006/metadata/properties"/>
    <ds:schemaRef ds:uri="3e0a144f-5725-4228-b70a-a798300146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3601470-56e0-43a7-9107-5a8d8908f6e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7</vt:i4>
      </vt:variant>
    </vt:vector>
  </HeadingPairs>
  <TitlesOfParts>
    <vt:vector size="16" baseType="lpstr">
      <vt:lpstr>Price_List 2023 UA</vt:lpstr>
      <vt:lpstr>Каталог</vt:lpstr>
      <vt:lpstr>Інструкція</vt:lpstr>
      <vt:lpstr>Вихідні дані</vt:lpstr>
      <vt:lpstr>Поверх 1</vt:lpstr>
      <vt:lpstr>Поверх 2</vt:lpstr>
      <vt:lpstr>Поверх 3</vt:lpstr>
      <vt:lpstr>Специфікація</vt:lpstr>
      <vt:lpstr>Друк</vt:lpstr>
      <vt:lpstr>roomsN</vt:lpstr>
      <vt:lpstr>Бездротова</vt:lpstr>
      <vt:lpstr>Дротова</vt:lpstr>
      <vt:lpstr>'Price_List 2023 UA'!Область_друку</vt:lpstr>
      <vt:lpstr>Друк!Область_друку</vt:lpstr>
      <vt:lpstr>Інструкція!Область_друку</vt:lpstr>
      <vt:lpstr>Спец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Volokh, Yuri</cp:lastModifiedBy>
  <cp:lastPrinted>2023-03-20T12:06:06Z</cp:lastPrinted>
  <dcterms:created xsi:type="dcterms:W3CDTF">2019-03-12T12:59:55Z</dcterms:created>
  <dcterms:modified xsi:type="dcterms:W3CDTF">2023-03-28T11:37:28Z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8db05b-8d0f-4671-968e-683e694bb3b1_Enabled">
    <vt:lpwstr>true</vt:lpwstr>
  </property>
  <property fmtid="{D5CDD505-2E9C-101B-9397-08002B2CF9AE}" pid="3" name="MSIP_Label_d98db05b-8d0f-4671-968e-683e694bb3b1_SetDate">
    <vt:lpwstr>2021-04-08T09:41:23Z</vt:lpwstr>
  </property>
  <property fmtid="{D5CDD505-2E9C-101B-9397-08002B2CF9AE}" pid="4" name="MSIP_Label_d98db05b-8d0f-4671-968e-683e694bb3b1_Method">
    <vt:lpwstr>Standard</vt:lpwstr>
  </property>
  <property fmtid="{D5CDD505-2E9C-101B-9397-08002B2CF9AE}" pid="5" name="MSIP_Label_d98db05b-8d0f-4671-968e-683e694bb3b1_Name">
    <vt:lpwstr>d98db05b-8d0f-4671-968e-683e694bb3b1</vt:lpwstr>
  </property>
  <property fmtid="{D5CDD505-2E9C-101B-9397-08002B2CF9AE}" pid="6" name="MSIP_Label_d98db05b-8d0f-4671-968e-683e694bb3b1_SiteId">
    <vt:lpwstr>a4f1aa99-bd23-4521-a3c0-1d07bdce1616</vt:lpwstr>
  </property>
  <property fmtid="{D5CDD505-2E9C-101B-9397-08002B2CF9AE}" pid="7" name="MSIP_Label_d98db05b-8d0f-4671-968e-683e694bb3b1_ActionId">
    <vt:lpwstr/>
  </property>
  <property fmtid="{D5CDD505-2E9C-101B-9397-08002B2CF9AE}" pid="8" name="MSIP_Label_d98db05b-8d0f-4671-968e-683e694bb3b1_ContentBits">
    <vt:lpwstr>0</vt:lpwstr>
  </property>
  <property fmtid="{D5CDD505-2E9C-101B-9397-08002B2CF9AE}" pid="9" name="ContentTypeId">
    <vt:lpwstr>0x01010085DFA1DC9A54C24F8DCAF2C156D8BF9E</vt:lpwstr>
  </property>
</Properties>
</file>