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balazs.juhasz\Balázs\Munka\Alig használt munka dolgok\"/>
    </mc:Choice>
  </mc:AlternateContent>
  <xr:revisionPtr revIDLastSave="0" documentId="8_{E6A41994-A81A-4A92-97C5-66E2436FB70F}" xr6:coauthVersionLast="47" xr6:coauthVersionMax="47" xr10:uidLastSave="{00000000-0000-0000-0000-000000000000}"/>
  <bookViews>
    <workbookView xWindow="-135" yWindow="-16335" windowWidth="29070" windowHeight="15750" xr2:uid="{E40762AD-7973-4320-AEC2-F1F033727ABF}"/>
  </bookViews>
  <sheets>
    <sheet name="Tétellista" sheetId="1" r:id="rId1"/>
    <sheet name="Processzor" sheetId="2" state="hidden" r:id="rId2"/>
    <sheet name="Osztó Vario PLUS" sheetId="4" state="hidden" r:id="rId3"/>
    <sheet name="Rendszer cikkszámok" sheetId="5" state="hidden" r:id="rId4"/>
  </sheets>
  <externalReferences>
    <externalReference r:id="rId5"/>
  </externalReferences>
  <definedNames>
    <definedName name="_xlnm.Print_Area" localSheetId="0">Tétellista!$A$1:$E$36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B34" i="2"/>
  <c r="B33" i="2"/>
  <c r="B32" i="2"/>
  <c r="B31" i="2"/>
  <c r="B30" i="2"/>
  <c r="B26" i="2"/>
  <c r="E18" i="2"/>
  <c r="F27" i="1" s="1"/>
  <c r="D18" i="2"/>
  <c r="E27" i="1" s="1"/>
  <c r="A18" i="2"/>
  <c r="B18" i="2" s="1"/>
  <c r="A17" i="2"/>
  <c r="E17" i="2" s="1"/>
  <c r="F26" i="1" s="1"/>
  <c r="E16" i="2"/>
  <c r="F25" i="1" s="1"/>
  <c r="D16" i="2"/>
  <c r="E25" i="1" s="1"/>
  <c r="B16" i="2"/>
  <c r="E15" i="2"/>
  <c r="F24" i="1" s="1"/>
  <c r="D15" i="2"/>
  <c r="E24" i="1" s="1"/>
  <c r="B15" i="2"/>
  <c r="H10" i="2"/>
  <c r="G10" i="2"/>
  <c r="H9" i="2"/>
  <c r="Y9" i="2" s="1"/>
  <c r="G9" i="2"/>
  <c r="H8" i="2"/>
  <c r="G8" i="2"/>
  <c r="I8" i="2" s="1"/>
  <c r="H7" i="2"/>
  <c r="R7" i="2" s="1"/>
  <c r="G7" i="2"/>
  <c r="I7" i="2" s="1"/>
  <c r="AE7" i="2" s="1"/>
  <c r="H6" i="2"/>
  <c r="Y6" i="2" s="1"/>
  <c r="G6" i="2"/>
  <c r="I6" i="2" s="1"/>
  <c r="H5" i="2"/>
  <c r="G5" i="2"/>
  <c r="L5" i="2" s="1"/>
  <c r="B2" i="2"/>
  <c r="F15" i="5" s="1"/>
  <c r="B1" i="2"/>
  <c r="F61" i="5" s="1"/>
  <c r="B110" i="5"/>
  <c r="B109" i="5"/>
  <c r="B108" i="5"/>
  <c r="B107" i="5"/>
  <c r="B106" i="5"/>
  <c r="B105" i="5"/>
  <c r="B104" i="5"/>
  <c r="B101" i="5"/>
  <c r="B100" i="5"/>
  <c r="B99" i="5"/>
  <c r="B98" i="5"/>
  <c r="B97" i="5"/>
  <c r="B94" i="5"/>
  <c r="B93" i="5"/>
  <c r="B92" i="5"/>
  <c r="B91" i="5"/>
  <c r="B88" i="5"/>
  <c r="B87" i="5"/>
  <c r="B86" i="5"/>
  <c r="B85" i="5"/>
  <c r="B84" i="5"/>
  <c r="B83" i="5"/>
  <c r="B80" i="5"/>
  <c r="B79" i="5"/>
  <c r="B78" i="5"/>
  <c r="B77" i="5"/>
  <c r="B76" i="5"/>
  <c r="B75" i="5"/>
  <c r="B74" i="5"/>
  <c r="B71" i="5"/>
  <c r="B70" i="5"/>
  <c r="B69" i="5"/>
  <c r="B68" i="5"/>
  <c r="B67" i="5"/>
  <c r="B66" i="5"/>
  <c r="B63" i="5"/>
  <c r="B62" i="5"/>
  <c r="B61" i="5"/>
  <c r="B60" i="5"/>
  <c r="B57" i="5"/>
  <c r="B56" i="5"/>
  <c r="B55" i="5"/>
  <c r="B54" i="5"/>
  <c r="B53" i="5"/>
  <c r="B50" i="5"/>
  <c r="B49" i="5"/>
  <c r="B48" i="5"/>
  <c r="B47" i="5"/>
  <c r="B46" i="5"/>
  <c r="B45" i="5"/>
  <c r="B44" i="5"/>
  <c r="B41" i="5"/>
  <c r="B40" i="5"/>
  <c r="B39" i="5"/>
  <c r="B38" i="5"/>
  <c r="B37" i="5"/>
  <c r="B36" i="5"/>
  <c r="B33" i="5"/>
  <c r="B32" i="5"/>
  <c r="B31" i="5"/>
  <c r="B30" i="5"/>
  <c r="B29" i="5"/>
  <c r="B28" i="5"/>
  <c r="B27" i="5"/>
  <c r="B26" i="5"/>
  <c r="B23" i="5"/>
  <c r="B22" i="5"/>
  <c r="B21" i="5"/>
  <c r="B20" i="5"/>
  <c r="B19" i="5"/>
  <c r="B16" i="5"/>
  <c r="B15" i="5"/>
  <c r="B14" i="5"/>
  <c r="B13" i="5"/>
  <c r="B12" i="5"/>
  <c r="M11" i="5"/>
  <c r="B11" i="5"/>
  <c r="O10" i="5"/>
  <c r="M10" i="5"/>
  <c r="O9" i="5"/>
  <c r="N9" i="5"/>
  <c r="M9" i="5"/>
  <c r="K9" i="5"/>
  <c r="R8" i="5"/>
  <c r="P8" i="5"/>
  <c r="O8" i="5"/>
  <c r="N8" i="5"/>
  <c r="M8" i="5"/>
  <c r="L8" i="5"/>
  <c r="K8" i="5"/>
  <c r="J8" i="5"/>
  <c r="B8" i="5"/>
  <c r="R7" i="5"/>
  <c r="Q7" i="5"/>
  <c r="P7" i="5"/>
  <c r="O7" i="5"/>
  <c r="N7" i="5"/>
  <c r="M7" i="5"/>
  <c r="L7" i="5"/>
  <c r="K7" i="5"/>
  <c r="J7" i="5"/>
  <c r="B7" i="5"/>
  <c r="R6" i="5"/>
  <c r="Q6" i="5"/>
  <c r="P6" i="5"/>
  <c r="O6" i="5"/>
  <c r="N6" i="5"/>
  <c r="M6" i="5"/>
  <c r="L6" i="5"/>
  <c r="K6" i="5"/>
  <c r="J6" i="5"/>
  <c r="B6" i="5"/>
  <c r="R5" i="5"/>
  <c r="Q5" i="5"/>
  <c r="P5" i="5"/>
  <c r="O5" i="5"/>
  <c r="N5" i="5"/>
  <c r="M5" i="5"/>
  <c r="L5" i="5"/>
  <c r="K5" i="5"/>
  <c r="J5" i="5"/>
  <c r="B5" i="5"/>
  <c r="R4" i="5"/>
  <c r="Q4" i="5"/>
  <c r="P4" i="5"/>
  <c r="O4" i="5"/>
  <c r="N4" i="5"/>
  <c r="M4" i="5"/>
  <c r="L4" i="5"/>
  <c r="K4" i="5"/>
  <c r="J4" i="5"/>
  <c r="B4" i="5"/>
  <c r="Y10" i="2"/>
  <c r="X10" i="2"/>
  <c r="AB10" i="2" s="1"/>
  <c r="W10" i="2"/>
  <c r="U10" i="2"/>
  <c r="T10" i="2"/>
  <c r="S10" i="2"/>
  <c r="R10" i="2"/>
  <c r="I10" i="2"/>
  <c r="I9" i="2"/>
  <c r="Y8" i="2"/>
  <c r="T7" i="2"/>
  <c r="S7" i="2"/>
  <c r="A12" i="2" l="1"/>
  <c r="E12" i="2" s="1"/>
  <c r="A13" i="2"/>
  <c r="E13" i="2" s="1"/>
  <c r="A14" i="2"/>
  <c r="C14" i="2" s="1"/>
  <c r="X8" i="2"/>
  <c r="AB8" i="2" s="1"/>
  <c r="I5" i="2"/>
  <c r="X5" i="2"/>
  <c r="AB5" i="2" s="1"/>
  <c r="F7" i="5"/>
  <c r="D14" i="2"/>
  <c r="B12" i="2"/>
  <c r="D12" i="2"/>
  <c r="E21" i="1" s="1"/>
  <c r="A6" i="2"/>
  <c r="B13" i="2"/>
  <c r="A7" i="2"/>
  <c r="C13" i="2"/>
  <c r="A8" i="2"/>
  <c r="D13" i="2"/>
  <c r="A9" i="2"/>
  <c r="F16" i="5"/>
  <c r="A10" i="2"/>
  <c r="B14" i="2"/>
  <c r="F18" i="5"/>
  <c r="A11" i="2"/>
  <c r="J5" i="2"/>
  <c r="K5" i="2"/>
  <c r="U7" i="2"/>
  <c r="F4" i="5"/>
  <c r="F53" i="5"/>
  <c r="F21" i="5"/>
  <c r="F8" i="5"/>
  <c r="F54" i="5"/>
  <c r="F9" i="5"/>
  <c r="F55" i="5"/>
  <c r="F19" i="5"/>
  <c r="F52" i="5"/>
  <c r="F11" i="5"/>
  <c r="F57" i="5"/>
  <c r="F10" i="5"/>
  <c r="F12" i="5"/>
  <c r="F35" i="5"/>
  <c r="F58" i="5"/>
  <c r="F13" i="5"/>
  <c r="F59" i="5"/>
  <c r="X7" i="2"/>
  <c r="AB7" i="2" s="1"/>
  <c r="F6" i="5"/>
  <c r="F14" i="5"/>
  <c r="W7" i="2"/>
  <c r="Y7" i="2"/>
  <c r="F3" i="5"/>
  <c r="F51" i="5"/>
  <c r="F21" i="1"/>
  <c r="R5" i="2"/>
  <c r="M8" i="2"/>
  <c r="N8" i="2"/>
  <c r="P8" i="2"/>
  <c r="Q8" i="2"/>
  <c r="Y5" i="2"/>
  <c r="Y11" i="2" s="1"/>
  <c r="F38" i="5" s="1"/>
  <c r="R8" i="2"/>
  <c r="B17" i="2"/>
  <c r="O5" i="2"/>
  <c r="S5" i="2"/>
  <c r="O8" i="2"/>
  <c r="P5" i="2"/>
  <c r="L8" i="2"/>
  <c r="M5" i="2"/>
  <c r="N5" i="2"/>
  <c r="J8" i="2"/>
  <c r="K8" i="2"/>
  <c r="T5" i="2"/>
  <c r="U5" i="2"/>
  <c r="Q5" i="2"/>
  <c r="Z10" i="2"/>
  <c r="AA10" i="2" s="1"/>
  <c r="AC10" i="2" s="1"/>
  <c r="W5" i="2"/>
  <c r="S8" i="2"/>
  <c r="T8" i="2"/>
  <c r="D17" i="2"/>
  <c r="U8" i="2"/>
  <c r="Q7" i="2"/>
  <c r="W8" i="2"/>
  <c r="D23" i="1"/>
  <c r="E23" i="1"/>
  <c r="AE5" i="2"/>
  <c r="K9" i="2"/>
  <c r="L6" i="2"/>
  <c r="M6" i="2"/>
  <c r="AD10" i="2"/>
  <c r="O6" i="2"/>
  <c r="Q9" i="2"/>
  <c r="R6" i="2"/>
  <c r="K7" i="2"/>
  <c r="S9" i="2"/>
  <c r="L10" i="2"/>
  <c r="J6" i="2"/>
  <c r="N9" i="2"/>
  <c r="N6" i="2"/>
  <c r="P6" i="2"/>
  <c r="J10" i="2"/>
  <c r="J7" i="2"/>
  <c r="Z8" i="2"/>
  <c r="AA8" i="2" s="1"/>
  <c r="AC8" i="2" s="1"/>
  <c r="AD8" i="2" s="1"/>
  <c r="K10" i="2"/>
  <c r="S6" i="2"/>
  <c r="M10" i="2"/>
  <c r="AE6" i="2"/>
  <c r="J9" i="2"/>
  <c r="AE10" i="2"/>
  <c r="AE9" i="2"/>
  <c r="K6" i="2"/>
  <c r="L9" i="2"/>
  <c r="M9" i="2"/>
  <c r="O9" i="2"/>
  <c r="P9" i="2"/>
  <c r="Q6" i="2"/>
  <c r="R9" i="2"/>
  <c r="L7" i="2"/>
  <c r="T9" i="2"/>
  <c r="T6" i="2"/>
  <c r="M7" i="2"/>
  <c r="U9" i="2"/>
  <c r="N10" i="2"/>
  <c r="U6" i="2"/>
  <c r="N7" i="2"/>
  <c r="W9" i="2"/>
  <c r="O10" i="2"/>
  <c r="E26" i="1"/>
  <c r="W6" i="2"/>
  <c r="O7" i="2"/>
  <c r="AE8" i="2"/>
  <c r="X9" i="2"/>
  <c r="AB9" i="2" s="1"/>
  <c r="P10" i="2"/>
  <c r="X6" i="2"/>
  <c r="P7" i="2"/>
  <c r="Q10" i="2"/>
  <c r="E14" i="2" l="1"/>
  <c r="F23" i="1" s="1"/>
  <c r="R11" i="2"/>
  <c r="Z5" i="2"/>
  <c r="AA5" i="2" s="1"/>
  <c r="AC5" i="2" s="1"/>
  <c r="AD5" i="2" s="1"/>
  <c r="D6" i="2"/>
  <c r="E15" i="1" s="1"/>
  <c r="B6" i="2"/>
  <c r="E6" i="2"/>
  <c r="F15" i="1" s="1"/>
  <c r="D9" i="2"/>
  <c r="E18" i="1" s="1"/>
  <c r="B9" i="2"/>
  <c r="E9" i="2"/>
  <c r="F18" i="1" s="1"/>
  <c r="D10" i="2"/>
  <c r="E19" i="1" s="1"/>
  <c r="E10" i="2"/>
  <c r="B10" i="2"/>
  <c r="E11" i="2"/>
  <c r="F20" i="1" s="1"/>
  <c r="D11" i="2"/>
  <c r="E20" i="1" s="1"/>
  <c r="B11" i="2"/>
  <c r="C6" i="2"/>
  <c r="D15" i="1" s="1"/>
  <c r="E8" i="2"/>
  <c r="F17" i="1" s="1"/>
  <c r="D8" i="2"/>
  <c r="E17" i="1" s="1"/>
  <c r="B8" i="2"/>
  <c r="C8" i="2"/>
  <c r="C17" i="1" s="1"/>
  <c r="D7" i="2"/>
  <c r="E16" i="1" s="1"/>
  <c r="B7" i="2"/>
  <c r="E7" i="2"/>
  <c r="F16" i="1" s="1"/>
  <c r="C7" i="2"/>
  <c r="J11" i="2"/>
  <c r="W11" i="2"/>
  <c r="Z7" i="2"/>
  <c r="AA7" i="2" s="1"/>
  <c r="AC7" i="2" s="1"/>
  <c r="AD7" i="2" s="1"/>
  <c r="K11" i="2"/>
  <c r="M11" i="2"/>
  <c r="F23" i="5" s="1"/>
  <c r="O11" i="2"/>
  <c r="S11" i="2"/>
  <c r="L11" i="2"/>
  <c r="U11" i="2"/>
  <c r="T11" i="2"/>
  <c r="Z9" i="2"/>
  <c r="AA9" i="2" s="1"/>
  <c r="AC9" i="2" s="1"/>
  <c r="AD9" i="2" s="1"/>
  <c r="N11" i="2"/>
  <c r="F19" i="1"/>
  <c r="D16" i="1"/>
  <c r="C23" i="1"/>
  <c r="Q11" i="2"/>
  <c r="X11" i="2"/>
  <c r="AB6" i="2"/>
  <c r="AB11" i="2" s="1"/>
  <c r="F40" i="5" s="1"/>
  <c r="Z6" i="2"/>
  <c r="AA6" i="2" s="1"/>
  <c r="AC6" i="2" s="1"/>
  <c r="AE11" i="2"/>
  <c r="D22" i="1"/>
  <c r="F22" i="1"/>
  <c r="E22" i="1"/>
  <c r="P11" i="2"/>
  <c r="C16" i="1" l="1"/>
  <c r="C15" i="1"/>
  <c r="AD6" i="2"/>
  <c r="F31" i="5"/>
  <c r="D17" i="1"/>
  <c r="A24" i="2"/>
  <c r="D24" i="2" s="1"/>
  <c r="E33" i="1" s="1"/>
  <c r="A19" i="2"/>
  <c r="E19" i="2" s="1"/>
  <c r="F28" i="1" s="1"/>
  <c r="F43" i="5"/>
  <c r="A23" i="2"/>
  <c r="F45" i="5"/>
  <c r="F29" i="5"/>
  <c r="C15" i="2" s="1"/>
  <c r="D24" i="1" s="1"/>
  <c r="F46" i="5"/>
  <c r="F26" i="5"/>
  <c r="F32" i="5"/>
  <c r="F34" i="5"/>
  <c r="F49" i="5"/>
  <c r="C17" i="2" s="1"/>
  <c r="D26" i="1" s="1"/>
  <c r="F22" i="5"/>
  <c r="F33" i="5"/>
  <c r="A21" i="2"/>
  <c r="C21" i="2" s="1"/>
  <c r="D30" i="1" s="1"/>
  <c r="F44" i="5"/>
  <c r="F30" i="5"/>
  <c r="C16" i="2" s="1"/>
  <c r="D25" i="1" s="1"/>
  <c r="A25" i="2"/>
  <c r="D25" i="2" s="1"/>
  <c r="E34" i="1" s="1"/>
  <c r="F47" i="5"/>
  <c r="C18" i="2" s="1"/>
  <c r="D27" i="1" s="1"/>
  <c r="A22" i="2"/>
  <c r="C22" i="2" s="1"/>
  <c r="D31" i="1" s="1"/>
  <c r="A20" i="2"/>
  <c r="F60" i="5"/>
  <c r="F25" i="5"/>
  <c r="F28" i="5"/>
  <c r="F17" i="5"/>
  <c r="AD11" i="2"/>
  <c r="F41" i="5" s="1"/>
  <c r="F27" i="5"/>
  <c r="F24" i="5"/>
  <c r="F37" i="5"/>
  <c r="F36" i="5"/>
  <c r="F50" i="5"/>
  <c r="F5" i="5"/>
  <c r="F20" i="5" s="1"/>
  <c r="F56" i="5"/>
  <c r="F42" i="5"/>
  <c r="E23" i="2"/>
  <c r="F32" i="1" s="1"/>
  <c r="B23" i="2"/>
  <c r="C23" i="2"/>
  <c r="D32" i="1" s="1"/>
  <c r="D23" i="2"/>
  <c r="E32" i="1" s="1"/>
  <c r="C24" i="2"/>
  <c r="D33" i="1" s="1"/>
  <c r="B24" i="2"/>
  <c r="C22" i="1"/>
  <c r="AC11" i="2"/>
  <c r="F39" i="5" s="1"/>
  <c r="E24" i="2" l="1"/>
  <c r="F33" i="1" s="1"/>
  <c r="C20" i="2"/>
  <c r="D29" i="1" s="1"/>
  <c r="C9" i="2"/>
  <c r="D18" i="1" s="1"/>
  <c r="C12" i="2"/>
  <c r="C10" i="2"/>
  <c r="C11" i="2"/>
  <c r="B20" i="2"/>
  <c r="E20" i="2"/>
  <c r="F29" i="1" s="1"/>
  <c r="B25" i="2"/>
  <c r="E25" i="2"/>
  <c r="F34" i="1" s="1"/>
  <c r="C18" i="1"/>
  <c r="D19" i="2"/>
  <c r="E28" i="1" s="1"/>
  <c r="B19" i="2"/>
  <c r="C19" i="2"/>
  <c r="D28" i="1" s="1"/>
  <c r="C25" i="2"/>
  <c r="D34" i="1" s="1"/>
  <c r="B22" i="2"/>
  <c r="D20" i="2"/>
  <c r="E29" i="1" s="1"/>
  <c r="D22" i="2"/>
  <c r="E31" i="1" s="1"/>
  <c r="B21" i="2"/>
  <c r="E22" i="2"/>
  <c r="F31" i="1" s="1"/>
  <c r="D21" i="2"/>
  <c r="E30" i="1" s="1"/>
  <c r="E21" i="2"/>
  <c r="F30" i="1" s="1"/>
  <c r="C21" i="1" l="1"/>
  <c r="D21" i="1"/>
  <c r="D20" i="1"/>
  <c r="C20" i="1"/>
  <c r="D19" i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Becze, Dénes</author>
  </authors>
  <commentList>
    <comment ref="G3" authorId="0" shapeId="0" xr:uid="{500A1291-C761-4324-A64F-02492BC70668}">
      <text>
        <r>
          <rPr>
            <b/>
            <sz val="9"/>
            <color indexed="81"/>
            <rFont val="Tahoma"/>
            <family val="2"/>
            <charset val="238"/>
          </rPr>
          <t>Becze, Dénes:</t>
        </r>
        <r>
          <rPr>
            <sz val="9"/>
            <color indexed="81"/>
            <rFont val="Tahoma"/>
            <family val="2"/>
            <charset val="238"/>
          </rPr>
          <t xml:space="preserve">
Biztonsági tényező</t>
        </r>
      </text>
    </comment>
    <comment ref="Y3" authorId="0" shapeId="0" xr:uid="{61B1DD72-D6F0-46ED-BF41-E6E2C83E0117}">
      <text>
        <r>
          <rPr>
            <b/>
            <sz val="9"/>
            <color indexed="81"/>
            <rFont val="Tahoma"/>
            <family val="2"/>
            <charset val="238"/>
          </rPr>
          <t>Becze, Dénes:</t>
        </r>
        <r>
          <rPr>
            <sz val="9"/>
            <color indexed="81"/>
            <rFont val="Tahoma"/>
            <family val="2"/>
            <charset val="238"/>
          </rPr>
          <t xml:space="preserve">
Panel felülete</t>
        </r>
      </text>
    </comment>
  </commentList>
</comments>
</file>

<file path=xl/sharedStrings.xml><?xml version="1.0" encoding="utf-8"?>
<sst xmlns="http://schemas.openxmlformats.org/spreadsheetml/2006/main" count="238" uniqueCount="131">
  <si>
    <t>Felületfűtési segédlet</t>
  </si>
  <si>
    <t>Cikkszám</t>
  </si>
  <si>
    <t>Megnevezés</t>
  </si>
  <si>
    <t>Csomagolási egységre kerekített mennyiség</t>
  </si>
  <si>
    <t>Mennyiség</t>
  </si>
  <si>
    <t>Egység</t>
  </si>
  <si>
    <t>Csomagolási egység</t>
  </si>
  <si>
    <t>Kitöltendő mezők:</t>
  </si>
  <si>
    <t>Rendszer típusa</t>
  </si>
  <si>
    <t>Minitec</t>
  </si>
  <si>
    <t>Helyiség típusa, alapterülete</t>
  </si>
  <si>
    <t>Szoba</t>
  </si>
  <si>
    <r>
      <t>m</t>
    </r>
    <r>
      <rPr>
        <vertAlign val="superscript"/>
        <sz val="10"/>
        <color indexed="30"/>
        <rFont val="Verdana"/>
        <family val="2"/>
        <charset val="238"/>
      </rPr>
      <t>2</t>
    </r>
  </si>
  <si>
    <t>*Minitec rendszer max 125m2-ig számítható, minden más 300m2-ig</t>
  </si>
  <si>
    <t>*A segédlet tartalma csak iránymutatásul szolgál! Az itt feltüntetett adatok ökölszámok alapján kerültek kalkulálásra, azok az épület adottságait figyelmen kívül hagyják! A termékek csak csomagolási egységre kerekítve rendelhetőek!</t>
  </si>
  <si>
    <t>Milyen rendszer</t>
  </si>
  <si>
    <t>Hány m2</t>
  </si>
  <si>
    <t>Körszám</t>
  </si>
  <si>
    <t>Thermatop</t>
  </si>
  <si>
    <t>Csőhosszok</t>
  </si>
  <si>
    <t>Renovis</t>
  </si>
  <si>
    <t>Fix/Contec ON</t>
  </si>
  <si>
    <t>Terméklista</t>
  </si>
  <si>
    <t>Szoba típusa</t>
  </si>
  <si>
    <t>Szoba felületek</t>
  </si>
  <si>
    <t>Siccus Mini Hidegburkolat</t>
  </si>
  <si>
    <t>Siccus Mini Melegburkolat</t>
  </si>
  <si>
    <t>Siccus 14</t>
  </si>
  <si>
    <t>Siccus 16 Hidegburkolat</t>
  </si>
  <si>
    <t>Siccus 16 Melegburkolat</t>
  </si>
  <si>
    <t>Classic</t>
  </si>
  <si>
    <t>Tacker</t>
  </si>
  <si>
    <t>Tecto</t>
  </si>
  <si>
    <t>Contec</t>
  </si>
  <si>
    <t>Klett</t>
  </si>
  <si>
    <t>Contec ON</t>
  </si>
  <si>
    <t>Fix</t>
  </si>
  <si>
    <t>Panelek száma</t>
  </si>
  <si>
    <t>Panel/zóna</t>
  </si>
  <si>
    <t>Zónák száma</t>
  </si>
  <si>
    <t>SZ</t>
  </si>
  <si>
    <t>T</t>
  </si>
  <si>
    <t>t</t>
  </si>
  <si>
    <t>kör max felület / csőméret</t>
  </si>
  <si>
    <t>kör max felület / rendszer</t>
  </si>
  <si>
    <t>Thermatop mező kiosztás</t>
  </si>
  <si>
    <t>Helyiség típusok</t>
  </si>
  <si>
    <t>Osztás</t>
  </si>
  <si>
    <t>Nappali</t>
  </si>
  <si>
    <t>Konyha</t>
  </si>
  <si>
    <t>Háztartási helyiség</t>
  </si>
  <si>
    <t>Fürdő</t>
  </si>
  <si>
    <t>Garázs</t>
  </si>
  <si>
    <t>Adott körszámhoz tartozó, osztók és kiegészítőiknek a darabszáma</t>
  </si>
  <si>
    <t>Ez a két oszlop azért kell, hogy a tétellista megtalálja a szükséges cikkszámokat.</t>
  </si>
  <si>
    <t>légtelenítő</t>
  </si>
  <si>
    <t>golyóscsap</t>
  </si>
  <si>
    <t>alapkészlet</t>
  </si>
  <si>
    <t>Bekötő könyök</t>
  </si>
  <si>
    <t>szekrény I</t>
  </si>
  <si>
    <t>szekrény II</t>
  </si>
  <si>
    <t>szekrény III</t>
  </si>
  <si>
    <t>szekrény IV</t>
  </si>
  <si>
    <t>Rendszerelemek</t>
  </si>
  <si>
    <t>Összes rendszerelem amit az excel használ</t>
  </si>
  <si>
    <t>Ezeket a cikkszámokat hivatkozza tovább a tétellista. Ide a rendszerelemek táblázatból kerülnek át a cikkszámok.</t>
  </si>
  <si>
    <t>Uponor Minitec Comfort cső 9.9x1.1 240m</t>
  </si>
  <si>
    <t>m</t>
  </si>
  <si>
    <t>Siccus</t>
  </si>
  <si>
    <t>Siccus 16</t>
  </si>
  <si>
    <t>Uponor Comfort Plus cső 14x2,0 240m</t>
  </si>
  <si>
    <t>Uponor Comfort Plus cső 16x2,0 240m</t>
  </si>
  <si>
    <t>Uponor Comfort Plus cső 20x2,0 240m</t>
  </si>
  <si>
    <t>Uponor Comfort Plus 20×2.0 S9-es szigetelt cső 60m</t>
  </si>
  <si>
    <t>Uponor Minitec rendszerlemez 1100x700x12mm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</si>
  <si>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</si>
  <si>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Uponor Minitec szegélyszigetelés 80x8 mm 20m </t>
  </si>
  <si>
    <t>Uponor Siccus rendszerlemez 1197x1050x25mm</t>
  </si>
  <si>
    <t xml:space="preserve">Uponor Siccus hőelosztó lemez </t>
  </si>
  <si>
    <t>db</t>
  </si>
  <si>
    <t xml:space="preserve">Uponor Multi fólia PE, 0,2mm, 60x1,25m 75m2 </t>
  </si>
  <si>
    <t>Uponor Multi szegélyszigetelés 150x10 mm 50m - ragasztócsíkkal</t>
  </si>
  <si>
    <t>Uponor Renovis Panel 2×0,625m</t>
  </si>
  <si>
    <t>Uponor Renovis Panel 1,2×0,625m</t>
  </si>
  <si>
    <t>Uponor Q&amp;E toldó gyűrűvel 9,9</t>
  </si>
  <si>
    <t>Uponor Q&amp;E réz szűkítő 20x9,9</t>
  </si>
  <si>
    <t>Uponor Q&amp;E réz T 20x9,9x20</t>
  </si>
  <si>
    <t>Uponor Tacker Panel 30mm DES 30-2</t>
  </si>
  <si>
    <t>Uponor Tacker rögzítő tüske, 14-20mm h=40mm, 1000db</t>
  </si>
  <si>
    <t>Uponor Fix tartósín 9,9mm</t>
  </si>
  <si>
    <t>Uponor Minitec szorítógyűrűs csavarzat 9,9×1,1-3/4"</t>
  </si>
  <si>
    <t>Uponor Vario PE-Xa Eurokónuszos csavarzat 14x2,0-3/4"</t>
  </si>
  <si>
    <t>Uponor Vario PE-Xa Eurokónuszos csavarzat 16x2,0-3/4"</t>
  </si>
  <si>
    <t>Uponor Vario PE-Xa Eurokónuszos csavarzat 20x2,0-3/4"</t>
  </si>
  <si>
    <t>Uponor Multi műanyag csőrögzítő ív 9,9-12</t>
  </si>
  <si>
    <t>Uponor Multi műanyag csővezető ív 14-18</t>
  </si>
  <si>
    <t>Uponor Multi műanyag csővezető ív 20-22</t>
  </si>
  <si>
    <t>Uponor Vario Plus automata légtelenítő 3/8"</t>
  </si>
  <si>
    <t>Uponor Vario golyóscsap km/bm 1"/1"</t>
  </si>
  <si>
    <t>Uponor Vario osztószekrény 600x730x135mm falra szerelhető</t>
  </si>
  <si>
    <t>Uponor Vario osztószekrény 750x730x135mm falra szerelhető</t>
  </si>
  <si>
    <t>Uponor Vario osztószekrény 900x730x135mm falra szerelhető</t>
  </si>
  <si>
    <t>Uponor Vario osztószekrény 1050x730x135mm falra szerelhető</t>
  </si>
  <si>
    <t>Uponor Tecto rendszerlemez 1450x850x11mm</t>
  </si>
  <si>
    <t>Uponor Teck védőcső 20-as csőre 28/23 fekete 50m</t>
  </si>
  <si>
    <t>Uponor födémátvezető elem</t>
  </si>
  <si>
    <t>Uponor Thermatop M Panel 2,55x0,277m</t>
  </si>
  <si>
    <t>Uponor S-Press PLUS PPSU T 20-16-20</t>
  </si>
  <si>
    <t>Uponor S-Press PLUS PPSU szűkítő 20-16</t>
  </si>
  <si>
    <t>Uponor S-Press PLUS PPSU toldó 16-16</t>
  </si>
  <si>
    <t>Uponor Uni Pipe PLUS szigetelt ötrétegű cső S6 20x2,25 75m</t>
  </si>
  <si>
    <t xml:space="preserve">Uponor Vario Plus osztó-gyűjtő áramlásmérővel 1×3/4" </t>
  </si>
  <si>
    <t xml:space="preserve">Uponor Vario Plus osztó-gyűjtő áramlásmérővel 3×3/4" </t>
  </si>
  <si>
    <t xml:space="preserve">Uponor Vario Plus osztó-gyűjtő áramlásmérővel 4×3/4" </t>
  </si>
  <si>
    <t xml:space="preserve">Uponor Vario Plus osztó-gyűjtő áramlásmérővel 6×3/4" </t>
  </si>
  <si>
    <t>Uponor Vario Plus osztó-gyűjtő alapkészlet</t>
  </si>
  <si>
    <t>Uponor Teck védőcső 16-os csőre 25/20 fekete 50m</t>
  </si>
  <si>
    <t>Uponor Vario Plus osztó-gyűjtő könyök</t>
  </si>
  <si>
    <t>pár</t>
  </si>
  <si>
    <t>Uponor Klett Comfort Pipe Plus 16×2,0 240m</t>
  </si>
  <si>
    <t>Uponor Klett, tépőzáras, rendszerlemez</t>
  </si>
  <si>
    <t>m2</t>
  </si>
  <si>
    <t>Uponor Siccus Mini Panel 1200x600x15mm</t>
  </si>
  <si>
    <t>Uponor Siccus Mini szegély csík 1000x45x15mm</t>
  </si>
  <si>
    <t>Uponor Uni-X eurokónuszos csatlakozó csavarzat 20-3/4"bm</t>
  </si>
  <si>
    <t>Uponor Siccus 16 rendszerlemez 1200x600x20mm</t>
  </si>
  <si>
    <t>Uponor Siccus 16 szegély csík 1000x45x19mm</t>
  </si>
  <si>
    <t>TABS</t>
  </si>
  <si>
    <t>Uponor Contec ON rendszerlemez</t>
  </si>
  <si>
    <t>Uponor Q&amp;E réz szűkítő 20x14</t>
  </si>
  <si>
    <t>Uponor Q&amp;E réz T 20x14x20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</si>
</sst>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3">
    <font>
      <sz val="11"/>
      <color theme="1"/>
      <name val="Arial"/>
      <family val="2"/>
    </font>
    <font>
      <sz val="10"/>
      <name val="Verdana"/>
      <family val="2"/>
      <charset val="238"/>
    </font>
    <font>
      <i/>
      <sz val="18"/>
      <color rgb="FF0062C8"/>
      <name val="Verdana"/>
      <family val="2"/>
      <charset val="238"/>
    </font>
    <font>
      <b/>
      <i/>
      <sz val="10"/>
      <color rgb="FF0062C8"/>
      <name val="Verdana"/>
      <family val="2"/>
      <charset val="238"/>
    </font>
    <font>
      <b/>
      <sz val="9"/>
      <color theme="0"/>
      <name val="Verdana"/>
      <family val="2"/>
      <charset val="238"/>
    </font>
    <font>
      <i/>
      <sz val="9"/>
      <name val="Verdana"/>
      <family val="2"/>
      <charset val="238"/>
    </font>
    <font>
      <b/>
      <sz val="14"/>
      <name val="Verdana"/>
      <family val="2"/>
      <charset val="238"/>
    </font>
    <font>
      <i/>
      <sz val="10"/>
      <name val="Verdana"/>
      <family val="2"/>
      <charset val="238"/>
    </font>
    <font>
      <sz val="9"/>
      <name val="Verdana"/>
      <family val="2"/>
      <charset val="238"/>
    </font>
    <font>
      <i/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sz val="11"/>
      <color rgb="FF0062C8"/>
      <name val="Verdana"/>
      <family val="2"/>
      <charset val="238"/>
    </font>
    <font>
      <sz val="10"/>
      <color rgb="FF0070C0"/>
      <name val="Verdana"/>
      <family val="2"/>
      <charset val="238"/>
    </font>
    <font>
      <vertAlign val="superscript"/>
      <sz val="10"/>
      <color indexed="30"/>
      <name val="Verdana"/>
      <family val="2"/>
      <charset val="238"/>
    </font>
    <font>
      <sz val="9"/>
      <name val="Verdana"/>
    </font>
    <font>
      <i/>
      <sz val="8"/>
      <name val="Verdana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2C8"/>
        <bgColor indexed="64"/>
      </patternFill>
    </fill>
    <fill>
      <patternFill patternType="solid">
        <fgColor theme="3" tint="0.8999908444471571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2" xfId="0" applyFont="1" applyBorder="1"/>
    <xf numFmtId="1" fontId="8" fillId="0" borderId="3" xfId="0" applyNumberFormat="1" applyFont="1" applyBorder="1"/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0" borderId="4" xfId="0" applyFont="1" applyBorder="1"/>
    <xf numFmtId="1" fontId="8" fillId="0" borderId="5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1" fillId="2" borderId="0" xfId="0" applyFont="1" applyFill="1" applyAlignment="1">
      <alignment vertical="center"/>
    </xf>
    <xf numFmtId="0" fontId="12" fillId="0" borderId="0" xfId="0" applyFont="1"/>
    <xf numFmtId="0" fontId="8" fillId="0" borderId="8" xfId="0" applyFont="1" applyBorder="1"/>
    <xf numFmtId="0" fontId="8" fillId="0" borderId="9" xfId="0" applyFont="1" applyBorder="1"/>
    <xf numFmtId="1" fontId="8" fillId="0" borderId="10" xfId="0" applyNumberFormat="1" applyFont="1" applyBorder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" fontId="8" fillId="0" borderId="9" xfId="0" applyNumberFormat="1" applyFont="1" applyBorder="1"/>
    <xf numFmtId="0" fontId="0" fillId="0" borderId="1" xfId="0" applyBorder="1"/>
    <xf numFmtId="0" fontId="0" fillId="0" borderId="3" xfId="0" applyBorder="1"/>
    <xf numFmtId="0" fontId="0" fillId="0" borderId="8" xfId="0" applyBorder="1"/>
    <xf numFmtId="1" fontId="0" fillId="0" borderId="10" xfId="0" applyNumberFormat="1" applyBorder="1"/>
    <xf numFmtId="0" fontId="16" fillId="0" borderId="11" xfId="0" applyFont="1" applyBorder="1"/>
    <xf numFmtId="0" fontId="16" fillId="0" borderId="0" xfId="0" applyFont="1"/>
    <xf numFmtId="1" fontId="0" fillId="0" borderId="6" xfId="0" applyNumberFormat="1" applyBorder="1"/>
    <xf numFmtId="1" fontId="0" fillId="0" borderId="14" xfId="0" applyNumberFormat="1" applyBorder="1"/>
    <xf numFmtId="1" fontId="17" fillId="0" borderId="14" xfId="0" applyNumberFormat="1" applyFont="1" applyBorder="1"/>
    <xf numFmtId="0" fontId="16" fillId="0" borderId="14" xfId="0" applyFont="1" applyBorder="1"/>
    <xf numFmtId="0" fontId="16" fillId="0" borderId="7" xfId="0" applyFont="1" applyBorder="1"/>
    <xf numFmtId="0" fontId="0" fillId="0" borderId="5" xfId="0" applyBorder="1"/>
    <xf numFmtId="0" fontId="0" fillId="0" borderId="15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16" fillId="0" borderId="6" xfId="0" applyFont="1" applyBorder="1"/>
    <xf numFmtId="0" fontId="18" fillId="0" borderId="0" xfId="0" applyFont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11" xfId="0" applyNumberFormat="1" applyBorder="1"/>
    <xf numFmtId="1" fontId="0" fillId="0" borderId="16" xfId="0" applyNumberFormat="1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5" xfId="0" applyNumberFormat="1" applyBorder="1"/>
    <xf numFmtId="0" fontId="0" fillId="0" borderId="9" xfId="0" applyBorder="1"/>
    <xf numFmtId="0" fontId="0" fillId="0" borderId="10" xfId="0" applyBorder="1"/>
    <xf numFmtId="1" fontId="0" fillId="0" borderId="13" xfId="0" applyNumberFormat="1" applyBorder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5" xfId="0" applyFont="1" applyBorder="1"/>
    <xf numFmtId="1" fontId="0" fillId="0" borderId="17" xfId="0" applyNumberFormat="1" applyBorder="1"/>
    <xf numFmtId="0" fontId="16" fillId="0" borderId="8" xfId="0" applyFont="1" applyBorder="1"/>
    <xf numFmtId="1" fontId="0" fillId="0" borderId="0" xfId="0" applyNumberFormat="1"/>
    <xf numFmtId="0" fontId="21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1" fillId="0" borderId="22" xfId="0" applyFont="1" applyBorder="1"/>
    <xf numFmtId="0" fontId="21" fillId="0" borderId="21" xfId="0" applyFont="1" applyBorder="1"/>
    <xf numFmtId="0" fontId="0" fillId="0" borderId="22" xfId="0" applyBorder="1"/>
    <xf numFmtId="0" fontId="0" fillId="0" borderId="21" xfId="0" applyBorder="1" applyAlignment="1">
      <alignment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16" fillId="0" borderId="20" xfId="0" applyFont="1" applyBorder="1"/>
    <xf numFmtId="0" fontId="16" fillId="0" borderId="22" xfId="0" applyFont="1" applyBorder="1"/>
    <xf numFmtId="0" fontId="0" fillId="0" borderId="23" xfId="0" applyBorder="1"/>
    <xf numFmtId="0" fontId="16" fillId="0" borderId="24" xfId="0" applyFont="1" applyBorder="1"/>
    <xf numFmtId="164" fontId="14" fillId="0" borderId="2" xfId="0" applyNumberFormat="1" applyFont="1" applyBorder="1"/>
    <xf numFmtId="1" fontId="8" fillId="0" borderId="2" xfId="0" applyNumberFormat="1" applyFont="1" applyBorder="1"/>
    <xf numFmtId="0" fontId="8" fillId="0" borderId="0" xfId="0" applyFont="1"/>
    <xf numFmtId="164" fontId="14" fillId="0" borderId="0" xfId="0" applyNumberFormat="1" applyFont="1"/>
    <xf numFmtId="1" fontId="8" fillId="0" borderId="0" xfId="0" applyNumberFormat="1" applyFont="1"/>
    <xf numFmtId="164" fontId="14" fillId="0" borderId="9" xfId="0" applyNumberFormat="1" applyFont="1" applyBorder="1"/>
    <xf numFmtId="0" fontId="8" fillId="4" borderId="4" xfId="0" applyFont="1" applyFill="1" applyBorder="1"/>
    <xf numFmtId="0" fontId="8" fillId="4" borderId="0" xfId="0" applyFont="1" applyFill="1"/>
    <xf numFmtId="1" fontId="8" fillId="4" borderId="0" xfId="0" applyNumberFormat="1" applyFont="1" applyFill="1"/>
    <xf numFmtId="1" fontId="8" fillId="4" borderId="5" xfId="0" applyNumberFormat="1" applyFont="1" applyFill="1" applyBorder="1"/>
    <xf numFmtId="164" fontId="14" fillId="4" borderId="0" xfId="0" applyNumberFormat="1" applyFont="1" applyFill="1"/>
    <xf numFmtId="0" fontId="8" fillId="4" borderId="1" xfId="0" applyFont="1" applyFill="1" applyBorder="1"/>
    <xf numFmtId="0" fontId="8" fillId="4" borderId="2" xfId="0" applyFont="1" applyFill="1" applyBorder="1"/>
    <xf numFmtId="164" fontId="14" fillId="4" borderId="2" xfId="0" applyNumberFormat="1" applyFont="1" applyFill="1" applyBorder="1"/>
    <xf numFmtId="1" fontId="8" fillId="4" borderId="2" xfId="0" applyNumberFormat="1" applyFont="1" applyFill="1" applyBorder="1"/>
    <xf numFmtId="1" fontId="8" fillId="4" borderId="3" xfId="0" applyNumberFormat="1" applyFont="1" applyFill="1" applyBorder="1"/>
    <xf numFmtId="0" fontId="8" fillId="4" borderId="8" xfId="0" applyFont="1" applyFill="1" applyBorder="1"/>
    <xf numFmtId="0" fontId="8" fillId="4" borderId="9" xfId="0" applyFont="1" applyFill="1" applyBorder="1"/>
    <xf numFmtId="164" fontId="14" fillId="4" borderId="9" xfId="0" applyNumberFormat="1" applyFont="1" applyFill="1" applyBorder="1"/>
    <xf numFmtId="1" fontId="8" fillId="4" borderId="9" xfId="0" applyNumberFormat="1" applyFont="1" applyFill="1" applyBorder="1"/>
    <xf numFmtId="1" fontId="8" fillId="4" borderId="10" xfId="0" applyNumberFormat="1" applyFont="1" applyFill="1" applyBorder="1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2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charset val="23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charset val="238"/>
        <scheme val="none"/>
      </font>
      <numFmt numFmtId="1" formatCode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charset val="238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charset val="23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charset val="238"/>
        <scheme val="none"/>
      </font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charset val="238"/>
        <scheme val="none"/>
      </font>
      <fill>
        <patternFill patternType="solid">
          <fgColor indexed="64"/>
          <bgColor rgb="FF0062C8"/>
        </patternFill>
      </fill>
      <alignment horizontal="center" vertical="center" textRotation="0" wrapText="0" indent="0" justifyLastLine="0" shrinkToFit="0" readingOrder="0"/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Ajánlat" pivot="0" count="1" xr9:uid="{6B17CD30-2E6D-4751-8E7D-AC456A579230}"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2552700</xdr:colOff>
      <xdr:row>2</xdr:row>
      <xdr:rowOff>0</xdr:rowOff>
    </xdr:from>
    <xdr:to>
      <xdr:col>2</xdr:col>
      <xdr:colOff>1559903</xdr:colOff>
      <xdr:row>10</xdr:row>
      <xdr:rowOff>56971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922583-BE14-46B8-A34C-E8B9242A1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0" y="342900"/>
          <a:ext cx="2331428" cy="143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lazs.juhasz\Bal&#225;zs\Munka\Alig%20haszn&#225;lt%20munka%20dolgok\Fel&#252;letf&#369;t&#233;si%20Seg&#233;dlet%202025.04.14..xlsx" TargetMode="External"/><Relationship Id="rId1" Type="http://schemas.openxmlformats.org/officeDocument/2006/relationships/externalLinkPath" Target="Fel&#252;letf&#369;t&#233;si%20Seg&#233;dlet%202025.04.1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étellista"/>
      <sheetName val="Processzor"/>
      <sheetName val="Osztó Vario PLUS"/>
      <sheetName val="Rendszer cikkszámok"/>
    </sheetNames>
    <sheetDataSet>
      <sheetData sheetId="0"/>
      <sheetData sheetId="1">
        <row r="15">
          <cell r="A15">
            <v>1038166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0E6AB2-EBFD-484C-A4D2-372FC9888E48}" name="Táblázat120" displayName="Táblázat120" ref="A14:F34" totalsRowShown="0" headerRowDxfId="21">
  <autoFilter ref="A14:F34" xr:uid="{7F0E6AB2-EBFD-484C-A4D2-372FC9888E48}"/>
  <tableColumns count="6">
    <tableColumn id="1" xr3:uid="{0A41C14C-A180-4786-867E-A17A46D80E43}" name="Cikkszám" dataDxfId="20">
      <calculatedColumnFormula>Processzor!A6</calculatedColumnFormula>
    </tableColumn>
    <tableColumn id="2" xr3:uid="{43CD5D1A-3CE3-4EAB-91F3-A2C54ACC2B36}" name="Megnevezés" dataDxfId="19">
      <calculatedColumnFormula>Processzor!B6</calculatedColumnFormula>
    </tableColumn>
    <tableColumn id="3" xr3:uid="{4582A42D-4FC1-4EFA-95C5-0210742ABF6C}" name="Csomagolási egységre kerekített mennyiség" dataDxfId="18">
      <calculatedColumnFormula>IFERROR(ROUNDUP([1]Processzor!C6/[1]Processzor!E6,0)*F15," ")</calculatedColumnFormula>
    </tableColumn>
    <tableColumn id="9" xr3:uid="{C9133DD6-A901-4554-88F5-CA61D6EACBC6}" name="Mennyiség" dataDxfId="17">
      <calculatedColumnFormula>Processzor!C6</calculatedColumnFormula>
    </tableColumn>
    <tableColumn id="4" xr3:uid="{C78FDFC7-95C4-4D85-97EB-6989149B8ACD}" name="Egység" dataDxfId="16">
      <calculatedColumnFormula>Processzor!D6</calculatedColumnFormula>
    </tableColumn>
    <tableColumn id="5" xr3:uid="{156AEC3A-755F-4AB6-BAFD-156048C4E835}" name="Csomagolási egység" dataDxfId="15">
      <calculatedColumnFormula>Processzor!E6</calculatedColumnFormula>
    </tableColumn>
  </tableColumns>
  <tableStyleInfo name="Ajánla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B9D2F-51BC-4D05-93B9-878533148640}">
  <dimension ref="A1:M36"/>
  <sheetViews>
    <sheetView tabSelected="1" view="pageBreakPreview" zoomScaleNormal="100" zoomScaleSheetLayoutView="100" workbookViewId="0">
      <selection activeCell="B23" sqref="B23"/>
    </sheetView>
  </sheetViews>
  <sheetFormatPr defaultRowHeight="13.9"/>
  <cols>
    <col min="1" max="1" width="13" bestFit="1" customWidth="1"/>
    <col min="2" max="2" width="43.625" bestFit="1" customWidth="1"/>
    <col min="3" max="3" width="42.5" bestFit="1" customWidth="1"/>
    <col min="4" max="4" width="13.875" bestFit="1" customWidth="1"/>
    <col min="5" max="5" width="11" bestFit="1" customWidth="1"/>
    <col min="6" max="6" width="20.75" bestFit="1" customWidth="1"/>
    <col min="8" max="8" width="27.125" customWidth="1"/>
    <col min="9" max="9" width="3.125" bestFit="1" customWidth="1"/>
  </cols>
  <sheetData>
    <row r="1" spans="1:1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spans="1:1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</row>
    <row r="3" spans="1:1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</row>
    <row r="4" spans="1:1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</row>
    <row r="5" spans="1:1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</row>
    <row r="6" spans="1:1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</row>
    <row r="7" spans="1:13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</row>
    <row r="8" spans="1:13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</row>
    <row r="9" spans="1:13" ht="13.9" customHeight="1">
      <c r="A9" s="103"/>
      <c r="B9" s="103"/>
      <c r="C9" s="103"/>
      <c r="D9" s="103"/>
      <c r="E9" s="103"/>
      <c r="F9" s="2"/>
      <c r="G9" s="2"/>
      <c r="H9" s="2"/>
      <c r="I9" s="2"/>
      <c r="J9" s="2"/>
      <c r="K9" s="2"/>
      <c r="L9" s="2"/>
      <c r="M9" s="2"/>
    </row>
    <row r="10" spans="1:13" ht="13.9" customHeight="1">
      <c r="A10" s="103"/>
      <c r="B10" s="103"/>
      <c r="C10" s="103"/>
      <c r="D10" s="103"/>
      <c r="E10" s="103"/>
      <c r="F10" s="2"/>
      <c r="G10" s="2"/>
      <c r="H10" s="2"/>
      <c r="I10" s="2"/>
      <c r="J10" s="2"/>
      <c r="K10" s="2"/>
      <c r="L10" s="2"/>
      <c r="M10" s="2"/>
    </row>
    <row r="11" spans="1:13">
      <c r="A11" s="104"/>
      <c r="B11" s="104"/>
      <c r="C11" s="104"/>
      <c r="D11" s="104"/>
      <c r="E11" s="104"/>
      <c r="F11" s="2"/>
      <c r="G11" s="2"/>
      <c r="H11" s="2"/>
      <c r="I11" s="2"/>
      <c r="J11" s="2"/>
      <c r="K11" s="2"/>
      <c r="L11" s="2"/>
      <c r="M11" s="2"/>
    </row>
    <row r="12" spans="1:13">
      <c r="A12" s="103" t="s">
        <v>0</v>
      </c>
      <c r="B12" s="103"/>
      <c r="C12" s="103"/>
      <c r="D12" s="103"/>
      <c r="E12" s="103"/>
      <c r="F12" s="2"/>
      <c r="G12" s="2"/>
      <c r="H12" s="2"/>
      <c r="I12" s="2"/>
      <c r="J12" s="2"/>
      <c r="K12" s="2"/>
      <c r="L12" s="2"/>
      <c r="M12" s="2"/>
    </row>
    <row r="13" spans="1:13">
      <c r="A13" s="103"/>
      <c r="B13" s="103"/>
      <c r="C13" s="103"/>
      <c r="D13" s="103"/>
      <c r="E13" s="103"/>
      <c r="F13" s="2"/>
      <c r="G13" s="2"/>
      <c r="H13" s="2"/>
      <c r="I13" s="2"/>
      <c r="J13" s="2"/>
      <c r="K13" s="2"/>
      <c r="L13" s="2"/>
      <c r="M13" s="2"/>
    </row>
    <row r="14" spans="1:13" ht="18" thickBot="1">
      <c r="A14" s="3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4" t="s">
        <v>6</v>
      </c>
      <c r="G14" s="2"/>
      <c r="H14" s="105" t="s">
        <v>7</v>
      </c>
      <c r="I14" s="105"/>
      <c r="J14" s="5"/>
      <c r="K14" s="2"/>
      <c r="L14" s="2"/>
      <c r="M14" s="6"/>
    </row>
    <row r="15" spans="1:13">
      <c r="A15" s="7">
        <f>Processzor!A6</f>
        <v>1005261</v>
      </c>
      <c r="B15" s="8" t="str">
        <f>Processzor!B6</f>
        <v>Uponor Minitec rendszerlemez 1100x700x12mm</v>
      </c>
      <c r="C15" s="80">
        <f>IFERROR(ROUNDUP(Processzor!C6/Processzor!E6,0)*F15," ")</f>
        <v>0</v>
      </c>
      <c r="D15" s="81">
        <f>Processzor!C6</f>
        <v>0</v>
      </c>
      <c r="E15" s="9" t="str">
        <f>Processzor!D6</f>
        <v>m2</v>
      </c>
      <c r="F15" s="10">
        <f>Processzor!E6</f>
        <v>15.4</v>
      </c>
      <c r="G15" s="2"/>
      <c r="H15" s="2"/>
      <c r="I15" s="2"/>
      <c r="J15" s="2"/>
      <c r="K15" s="2"/>
      <c r="L15" s="2"/>
      <c r="M15" s="11"/>
    </row>
    <row r="16" spans="1:13" ht="14.45" thickBot="1">
      <c r="A16" s="86">
        <f>Processzor!A7</f>
        <v>1063289</v>
      </c>
      <c r="B16" s="87" t="str">
        <f>Processzor!B7</f>
        <v>Uponor Minitec Comfort cső 9.9x1.1 240m</v>
      </c>
      <c r="C16" s="90">
        <f>IFERROR(ROUNDUP(Processzor!C7/Processzor!E7,0)*F16," ")</f>
        <v>0</v>
      </c>
      <c r="D16" s="88">
        <f>Processzor!C7</f>
        <v>0</v>
      </c>
      <c r="E16" s="89" t="str">
        <f>Processzor!D7</f>
        <v>m</v>
      </c>
      <c r="F16" s="10">
        <f>Processzor!E7</f>
        <v>240</v>
      </c>
      <c r="G16" s="2"/>
      <c r="H16" s="101" t="s">
        <v>8</v>
      </c>
      <c r="I16" s="101"/>
      <c r="J16" s="15"/>
      <c r="K16" s="2"/>
      <c r="L16" s="2"/>
      <c r="M16" s="2"/>
    </row>
    <row r="17" spans="1:13" ht="14.45" thickBot="1">
      <c r="A17" s="12">
        <f>Processzor!A8</f>
        <v>1005267</v>
      </c>
      <c r="B17" s="82" t="str">
        <f>Processzor!B8</f>
        <v xml:space="preserve">Uponor Minitec szegélyszigetelés 80x8 mm 20m </v>
      </c>
      <c r="C17" s="83">
        <f>IFERROR(ROUNDUP(Processzor!C8/Processzor!E8,0)*F17," ")</f>
        <v>0</v>
      </c>
      <c r="D17" s="84">
        <f>Processzor!C8</f>
        <v>0</v>
      </c>
      <c r="E17" s="13" t="str">
        <f>Processzor!D8</f>
        <v>m</v>
      </c>
      <c r="F17" s="10">
        <f>Processzor!E8</f>
        <v>20</v>
      </c>
      <c r="G17" s="2"/>
      <c r="H17" s="106" t="s">
        <v>9</v>
      </c>
      <c r="I17" s="107"/>
      <c r="J17" s="2"/>
      <c r="K17" s="2"/>
      <c r="L17" s="2"/>
      <c r="M17" s="2"/>
    </row>
    <row r="18" spans="1:13">
      <c r="A18" s="86">
        <f>Processzor!A9</f>
        <v>1013426</v>
      </c>
      <c r="B18" s="87" t="str">
        <f>Processzor!B9</f>
        <v>Uponor Minitec szorítógyűrűs csavarzat 9,9×1,1-3/4"</v>
      </c>
      <c r="C18" s="90">
        <f>IFERROR(ROUNDUP(Processzor!C9/Processzor!E9,0)*F18," ")</f>
        <v>0</v>
      </c>
      <c r="D18" s="88">
        <f>Processzor!C9</f>
        <v>0</v>
      </c>
      <c r="E18" s="89" t="str">
        <f>Processzor!D9</f>
        <v>db</v>
      </c>
      <c r="F18" s="10">
        <f>Processzor!E9</f>
        <v>1</v>
      </c>
      <c r="G18" s="2"/>
      <c r="H18" s="2"/>
      <c r="I18" s="2"/>
      <c r="J18" s="16"/>
      <c r="K18" s="2"/>
      <c r="L18" s="2"/>
      <c r="M18" s="2"/>
    </row>
    <row r="19" spans="1:13">
      <c r="A19" s="12">
        <f>Processzor!A10</f>
        <v>1135490</v>
      </c>
      <c r="B19" s="82" t="str">
        <f>Processzor!B10</f>
        <v>Uponor Multi műanyag csőrögzítő ív 9,9-12</v>
      </c>
      <c r="C19" s="83">
        <f>IFERROR(ROUNDUP(Processzor!C10/Processzor!E10,0)*F19," ")</f>
        <v>0</v>
      </c>
      <c r="D19" s="84">
        <f>Processzor!C10</f>
        <v>0</v>
      </c>
      <c r="E19" s="13" t="str">
        <f>Processzor!D10</f>
        <v>db</v>
      </c>
      <c r="F19" s="10">
        <f>Processzor!E10</f>
        <v>1</v>
      </c>
      <c r="G19" s="2"/>
      <c r="H19" s="2"/>
      <c r="I19" s="2"/>
      <c r="J19" s="2"/>
      <c r="K19" s="2"/>
      <c r="L19" s="2"/>
      <c r="M19" s="2"/>
    </row>
    <row r="20" spans="1:13">
      <c r="A20" s="86" t="str">
        <f>Processzor!A11</f>
        <v/>
      </c>
      <c r="B20" s="87" t="str">
        <f>Processzor!B11</f>
        <v/>
      </c>
      <c r="C20" s="90" t="str">
        <f>IFERROR(ROUNDUP(Processzor!C11/Processzor!E11,0)*F20," ")</f>
        <v xml:space="preserve"> </v>
      </c>
      <c r="D20" s="88" t="str">
        <f>Processzor!C11</f>
        <v/>
      </c>
      <c r="E20" s="89" t="str">
        <f>Processzor!D11</f>
        <v/>
      </c>
      <c r="F20" s="10" t="str">
        <f>Processzor!E11</f>
        <v/>
      </c>
      <c r="G20" s="2"/>
      <c r="H20" s="2"/>
      <c r="I20" s="2"/>
      <c r="J20" s="14"/>
      <c r="K20" s="2"/>
      <c r="L20" s="2"/>
      <c r="M20" s="2"/>
    </row>
    <row r="21" spans="1:13">
      <c r="A21" s="12" t="str">
        <f>Processzor!A12</f>
        <v/>
      </c>
      <c r="B21" s="82" t="str">
        <f>Processzor!B12</f>
        <v/>
      </c>
      <c r="C21" s="83" t="str">
        <f>IFERROR(ROUNDUP(Processzor!C12/Processzor!E12,0)*F21," ")</f>
        <v xml:space="preserve"> </v>
      </c>
      <c r="D21" s="84" t="str">
        <f>Processzor!C12</f>
        <v/>
      </c>
      <c r="E21" s="13" t="str">
        <f>Processzor!D12</f>
        <v/>
      </c>
      <c r="F21" s="10" t="str">
        <f>Processzor!E12</f>
        <v/>
      </c>
      <c r="G21" s="2"/>
      <c r="H21" s="101" t="s">
        <v>10</v>
      </c>
      <c r="I21" s="101"/>
      <c r="J21" s="14"/>
      <c r="K21" s="2"/>
      <c r="L21" s="2"/>
      <c r="M21" s="2"/>
    </row>
    <row r="22" spans="1:13" ht="14.45" thickBot="1">
      <c r="A22" s="86" t="str">
        <f>Processzor!A13</f>
        <v/>
      </c>
      <c r="B22" s="87" t="str">
        <f>Processzor!B13</f>
        <v/>
      </c>
      <c r="C22" s="90" t="str">
        <f>IFERROR(ROUNDUP(Processzor!C13/Processzor!E13,0)*F22," ")</f>
        <v xml:space="preserve"> </v>
      </c>
      <c r="D22" s="88" t="str">
        <f>Processzor!C13</f>
        <v/>
      </c>
      <c r="E22" s="89" t="str">
        <f>Processzor!D13</f>
        <v/>
      </c>
      <c r="F22" s="10" t="str">
        <f>Processzor!E13</f>
        <v/>
      </c>
      <c r="G22" s="2"/>
      <c r="H22" s="2"/>
      <c r="I22" s="2"/>
      <c r="J22" s="2"/>
      <c r="K22" s="17"/>
      <c r="L22" s="2"/>
      <c r="M22" s="2"/>
    </row>
    <row r="23" spans="1:13" ht="15" thickBot="1">
      <c r="A23" s="18" t="str">
        <f>Processzor!A14</f>
        <v/>
      </c>
      <c r="B23" s="19" t="str">
        <f>Processzor!B14</f>
        <v/>
      </c>
      <c r="C23" s="85" t="str">
        <f>IFERROR(ROUNDUP(Processzor!C14/Processzor!E14,0)*F23," ")</f>
        <v xml:space="preserve"> </v>
      </c>
      <c r="D23" s="24" t="str">
        <f>Processzor!C14</f>
        <v/>
      </c>
      <c r="E23" s="20" t="str">
        <f>Processzor!D14</f>
        <v/>
      </c>
      <c r="F23" s="10" t="str">
        <f>Processzor!E14</f>
        <v/>
      </c>
      <c r="G23" s="2"/>
      <c r="H23" s="21" t="s">
        <v>11</v>
      </c>
      <c r="I23" s="21">
        <v>0</v>
      </c>
      <c r="J23" s="17" t="s">
        <v>12</v>
      </c>
      <c r="K23" s="2"/>
      <c r="L23" s="2"/>
      <c r="M23" s="2"/>
    </row>
    <row r="24" spans="1:13" ht="15" thickBot="1">
      <c r="A24" s="91">
        <f>Processzor!A15</f>
        <v>1038166</v>
      </c>
      <c r="B24" s="92" t="str">
        <f>Processzor!B15</f>
        <v>Uponor Vario Plus automata légtelenítő 3/8"</v>
      </c>
      <c r="C24" s="93"/>
      <c r="D24" s="94">
        <f>Processzor!C15</f>
        <v>0</v>
      </c>
      <c r="E24" s="95" t="str">
        <f>Processzor!D15</f>
        <v>db</v>
      </c>
      <c r="F24" s="10">
        <f>Processzor!E15</f>
        <v>1</v>
      </c>
      <c r="G24" s="2"/>
      <c r="H24" s="21" t="s">
        <v>11</v>
      </c>
      <c r="I24" s="22">
        <v>0</v>
      </c>
      <c r="J24" s="17" t="s">
        <v>12</v>
      </c>
      <c r="K24" s="2"/>
      <c r="L24" s="2"/>
      <c r="M24" s="2"/>
    </row>
    <row r="25" spans="1:13" ht="15" thickBot="1">
      <c r="A25" s="12">
        <f>Processzor!A16</f>
        <v>1059132</v>
      </c>
      <c r="B25" s="82" t="str">
        <f>Processzor!B16</f>
        <v>Uponor Vario golyóscsap km/bm 1"/1"</v>
      </c>
      <c r="C25" s="83"/>
      <c r="D25" s="84">
        <f>Processzor!C16</f>
        <v>0</v>
      </c>
      <c r="E25" s="13" t="str">
        <f>Processzor!D16</f>
        <v>db</v>
      </c>
      <c r="F25" s="10">
        <f>Processzor!E16</f>
        <v>1</v>
      </c>
      <c r="G25" s="2"/>
      <c r="H25" s="21" t="s">
        <v>11</v>
      </c>
      <c r="I25" s="23">
        <v>0</v>
      </c>
      <c r="J25" s="17" t="s">
        <v>12</v>
      </c>
      <c r="K25" s="2"/>
      <c r="L25" s="2"/>
      <c r="M25" s="2"/>
    </row>
    <row r="26" spans="1:13" ht="15" thickBot="1">
      <c r="A26" s="86">
        <f>Processzor!A17</f>
        <v>1032702</v>
      </c>
      <c r="B26" s="87" t="str">
        <f>Processzor!B17</f>
        <v>Uponor Vario Plus osztó-gyűjtő könyök</v>
      </c>
      <c r="C26" s="90"/>
      <c r="D26" s="88">
        <f>Processzor!C17</f>
        <v>0</v>
      </c>
      <c r="E26" s="89" t="str">
        <f>Processzor!D17</f>
        <v>pár</v>
      </c>
      <c r="F26" s="10">
        <f>Processzor!E17</f>
        <v>1</v>
      </c>
      <c r="G26" s="2"/>
      <c r="H26" s="21" t="s">
        <v>11</v>
      </c>
      <c r="I26" s="21">
        <v>0</v>
      </c>
      <c r="J26" s="17" t="s">
        <v>12</v>
      </c>
      <c r="K26" s="2"/>
      <c r="L26" s="2"/>
      <c r="M26" s="2"/>
    </row>
    <row r="27" spans="1:13" ht="15" thickBot="1">
      <c r="A27" s="12">
        <f>Processzor!A18</f>
        <v>1009209</v>
      </c>
      <c r="B27" s="82" t="str">
        <f>Processzor!B18</f>
        <v>Uponor Vario Plus osztó-gyűjtő alapkészlet</v>
      </c>
      <c r="C27" s="83"/>
      <c r="D27" s="84">
        <f>Processzor!C18</f>
        <v>0</v>
      </c>
      <c r="E27" s="13" t="str">
        <f>Processzor!D18</f>
        <v>db</v>
      </c>
      <c r="F27" s="10">
        <f>Processzor!E18</f>
        <v>1</v>
      </c>
      <c r="G27" s="2"/>
      <c r="H27" s="21" t="s">
        <v>11</v>
      </c>
      <c r="I27" s="21">
        <v>0</v>
      </c>
      <c r="J27" s="17" t="s">
        <v>12</v>
      </c>
      <c r="K27" s="2"/>
      <c r="L27" s="2"/>
      <c r="M27" s="2"/>
    </row>
    <row r="28" spans="1:13" ht="15" thickBot="1">
      <c r="A28" s="86" t="str">
        <f>Processzor!A19</f>
        <v/>
      </c>
      <c r="B28" s="87" t="str">
        <f>Processzor!B19</f>
        <v/>
      </c>
      <c r="C28" s="90"/>
      <c r="D28" s="88" t="str">
        <f>Processzor!C19</f>
        <v/>
      </c>
      <c r="E28" s="89" t="str">
        <f>Processzor!D19</f>
        <v/>
      </c>
      <c r="F28" s="10" t="str">
        <f>Processzor!E19</f>
        <v/>
      </c>
      <c r="G28" s="2"/>
      <c r="H28" s="22" t="s">
        <v>11</v>
      </c>
      <c r="I28" s="22">
        <v>0</v>
      </c>
      <c r="J28" s="17" t="s">
        <v>12</v>
      </c>
      <c r="K28" s="2"/>
      <c r="L28" s="2"/>
      <c r="M28" s="2"/>
    </row>
    <row r="29" spans="1:13">
      <c r="A29" s="12" t="str">
        <f>Processzor!A20</f>
        <v/>
      </c>
      <c r="B29" s="82" t="str">
        <f>Processzor!B20</f>
        <v/>
      </c>
      <c r="C29" s="83"/>
      <c r="D29" s="84" t="str">
        <f>Processzor!C20</f>
        <v/>
      </c>
      <c r="E29" s="13" t="str">
        <f>Processzor!D20</f>
        <v/>
      </c>
      <c r="F29" s="10" t="str">
        <f>Processzor!E20</f>
        <v/>
      </c>
      <c r="G29" s="2"/>
      <c r="H29" s="2"/>
      <c r="I29" s="2"/>
      <c r="J29" s="2"/>
      <c r="K29" s="2"/>
      <c r="L29" s="2"/>
      <c r="M29" s="2"/>
    </row>
    <row r="30" spans="1:13">
      <c r="A30" s="86" t="str">
        <f>Processzor!A21</f>
        <v/>
      </c>
      <c r="B30" s="87" t="str">
        <f>Processzor!B21</f>
        <v/>
      </c>
      <c r="C30" s="90"/>
      <c r="D30" s="88" t="str">
        <f>Processzor!C21</f>
        <v/>
      </c>
      <c r="E30" s="89" t="str">
        <f>Processzor!D21</f>
        <v/>
      </c>
      <c r="F30" s="10" t="str">
        <f>Processzor!E21</f>
        <v/>
      </c>
      <c r="G30" s="2"/>
      <c r="H30" s="6" t="s">
        <v>13</v>
      </c>
      <c r="I30" s="2"/>
      <c r="J30" s="2"/>
      <c r="K30" s="2"/>
      <c r="L30" s="2"/>
      <c r="M30" s="2"/>
    </row>
    <row r="31" spans="1:13">
      <c r="A31" s="12" t="str">
        <f>Processzor!A22</f>
        <v/>
      </c>
      <c r="B31" s="82" t="str">
        <f>Processzor!B22</f>
        <v/>
      </c>
      <c r="C31" s="83"/>
      <c r="D31" s="84" t="str">
        <f>Processzor!C22</f>
        <v/>
      </c>
      <c r="E31" s="13" t="str">
        <f>Processzor!D22</f>
        <v/>
      </c>
      <c r="F31" s="10" t="str">
        <f>Processzor!E22</f>
        <v/>
      </c>
      <c r="G31" s="2"/>
      <c r="H31" s="2"/>
      <c r="I31" s="2"/>
      <c r="J31" s="2"/>
      <c r="K31" s="2"/>
      <c r="L31" s="2"/>
      <c r="M31" s="2"/>
    </row>
    <row r="32" spans="1:13">
      <c r="A32" s="86" t="str">
        <f>Processzor!A23</f>
        <v/>
      </c>
      <c r="B32" s="87" t="str">
        <f>Processzor!B23</f>
        <v/>
      </c>
      <c r="C32" s="90"/>
      <c r="D32" s="88" t="str">
        <f>Processzor!C23</f>
        <v/>
      </c>
      <c r="E32" s="89" t="str">
        <f>Processzor!D23</f>
        <v/>
      </c>
      <c r="F32" s="10" t="str">
        <f>Processzor!E23</f>
        <v/>
      </c>
      <c r="G32" s="2"/>
      <c r="H32" s="2"/>
      <c r="I32" s="2"/>
      <c r="J32" s="2"/>
      <c r="K32" s="2"/>
      <c r="L32" s="2"/>
      <c r="M32" s="2"/>
    </row>
    <row r="33" spans="1:13">
      <c r="A33" s="12" t="str">
        <f>Processzor!A24</f>
        <v/>
      </c>
      <c r="B33" s="82" t="str">
        <f>Processzor!B24</f>
        <v/>
      </c>
      <c r="C33" s="83"/>
      <c r="D33" s="84" t="str">
        <f>Processzor!C24</f>
        <v/>
      </c>
      <c r="E33" s="13" t="str">
        <f>Processzor!D24</f>
        <v/>
      </c>
      <c r="F33" s="10" t="str">
        <f>Processzor!E24</f>
        <v/>
      </c>
      <c r="G33" s="2"/>
      <c r="H33" s="2"/>
      <c r="I33" s="2"/>
      <c r="J33" s="2"/>
      <c r="K33" s="2"/>
      <c r="L33" s="2"/>
      <c r="M33" s="2"/>
    </row>
    <row r="34" spans="1:13" ht="14.45" thickBot="1">
      <c r="A34" s="96" t="str">
        <f>Processzor!A25</f>
        <v/>
      </c>
      <c r="B34" s="97" t="str">
        <f>Processzor!B25</f>
        <v/>
      </c>
      <c r="C34" s="98"/>
      <c r="D34" s="99" t="str">
        <f>Processzor!C25</f>
        <v/>
      </c>
      <c r="E34" s="100" t="str">
        <f>Processzor!D25</f>
        <v/>
      </c>
      <c r="F34" s="10" t="str">
        <f>Processzor!E25</f>
        <v/>
      </c>
      <c r="G34" s="2"/>
      <c r="H34" s="2"/>
      <c r="I34" s="2"/>
      <c r="J34" s="2"/>
      <c r="K34" s="2"/>
      <c r="L34" s="2"/>
      <c r="M34" s="2"/>
    </row>
    <row r="35" spans="1:13" ht="13.9" customHeight="1">
      <c r="A35" s="102" t="s">
        <v>14</v>
      </c>
      <c r="B35" s="102"/>
      <c r="C35" s="102"/>
      <c r="D35" s="102"/>
      <c r="E35" s="102"/>
      <c r="F35" s="2"/>
      <c r="G35" s="2"/>
      <c r="H35" s="2"/>
      <c r="I35" s="2"/>
      <c r="J35" s="2"/>
      <c r="K35" s="2"/>
      <c r="L35" s="2"/>
      <c r="M35" s="2"/>
    </row>
    <row r="36" spans="1:13">
      <c r="A36" s="102"/>
      <c r="B36" s="102"/>
      <c r="C36" s="102"/>
      <c r="D36" s="102"/>
      <c r="E36" s="102"/>
      <c r="F36" s="2"/>
      <c r="G36" s="2"/>
      <c r="H36" s="2"/>
      <c r="I36" s="2"/>
      <c r="J36" s="2"/>
      <c r="K36" s="2"/>
      <c r="L36" s="2"/>
      <c r="M36" s="2"/>
    </row>
  </sheetData>
  <mergeCells count="8">
    <mergeCell ref="H21:I21"/>
    <mergeCell ref="A35:E36"/>
    <mergeCell ref="A12:E13"/>
    <mergeCell ref="A9:E10"/>
    <mergeCell ref="A11:E11"/>
    <mergeCell ref="H14:I14"/>
    <mergeCell ref="H16:I16"/>
    <mergeCell ref="H17:I17"/>
  </mergeCells>
  <pageMargins left="0.7" right="0.7" top="0.75" bottom="0.75" header="0.3" footer="0.3"/>
  <pageSetup paperSize="9" scale="55" orientation="portrait" verticalDpi="0" r:id="rId1"/>
  <headerFooter>
    <oddHeader>&amp;C&amp;"Arial"&amp;8&amp;KFF0000 INTERNAL &amp;1#_x000D_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99CF62-F82E-4B30-BD3D-73F8655EB160}">
          <x14:formula1>
            <xm:f>Processzor!$H$15:$H$20</xm:f>
          </x14:formula1>
          <xm:sqref>H23:H28</xm:sqref>
        </x14:dataValidation>
        <x14:dataValidation type="list" allowBlank="1" showInputMessage="1" showErrorMessage="1" xr:uid="{DD4EEA45-BF1F-431E-BB10-B17E3AECC5E6}">
          <x14:formula1>
            <xm:f>Processzor!$J$4:$X$4</xm:f>
          </x14:formula1>
          <xm:sqref>H17:I17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31C2-A4F0-49AC-8579-8E7296E4AA8F}">
  <dimension ref="A1:AE35"/>
  <sheetViews>
    <sheetView workbookViewId="0">
      <selection activeCell="E25" sqref="E25"/>
    </sheetView>
  </sheetViews>
  <sheetFormatPr defaultRowHeight="13.9"/>
  <cols>
    <col min="1" max="1" width="12.875" customWidth="1"/>
    <col min="2" max="2" width="44.625" customWidth="1"/>
    <col min="3" max="3" width="9" customWidth="1"/>
    <col min="4" max="4" width="3.25" customWidth="1"/>
    <col min="5" max="5" width="4.5" bestFit="1" customWidth="1"/>
    <col min="6" max="6" width="9.25" customWidth="1"/>
    <col min="7" max="7" width="12.625" customWidth="1"/>
    <col min="8" max="8" width="20.625" customWidth="1"/>
    <col min="9" max="9" width="4.5" customWidth="1"/>
    <col min="10" max="10" width="8.25" customWidth="1"/>
    <col min="11" max="11" width="19.75" bestFit="1" customWidth="1"/>
    <col min="12" max="12" width="20" bestFit="1" customWidth="1"/>
    <col min="13" max="13" width="8.25" customWidth="1"/>
    <col min="14" max="14" width="19.25" bestFit="1" customWidth="1"/>
    <col min="15" max="15" width="18.75" bestFit="1" customWidth="1"/>
    <col min="16" max="18" width="8.25" customWidth="1"/>
    <col min="19" max="19" width="11.625" customWidth="1"/>
    <col min="20" max="20" width="16.625" customWidth="1"/>
    <col min="21" max="21" width="14" customWidth="1"/>
    <col min="22" max="22" width="12.625" customWidth="1"/>
    <col min="23" max="23" width="9.25" customWidth="1"/>
    <col min="24" max="24" width="10.875" customWidth="1"/>
    <col min="25" max="26" width="8.25" customWidth="1"/>
  </cols>
  <sheetData>
    <row r="1" spans="1:31" ht="14.45" thickBot="1">
      <c r="A1" s="25" t="s">
        <v>15</v>
      </c>
      <c r="B1" s="26" t="str">
        <f>Tétellista!H17</f>
        <v>Minitec</v>
      </c>
    </row>
    <row r="2" spans="1:31" ht="14.45" thickBot="1">
      <c r="A2" s="27" t="s">
        <v>16</v>
      </c>
      <c r="B2" s="28">
        <f>SUM(Tétellista!I23:J28)</f>
        <v>0</v>
      </c>
      <c r="J2" s="108" t="s">
        <v>17</v>
      </c>
      <c r="K2" s="109"/>
      <c r="L2" s="109"/>
      <c r="M2" s="109"/>
      <c r="N2" s="109"/>
      <c r="O2" s="109"/>
      <c r="P2" s="109"/>
      <c r="Q2" s="109"/>
      <c r="R2" s="109"/>
      <c r="S2" s="110"/>
      <c r="T2" s="111" t="s">
        <v>18</v>
      </c>
      <c r="U2" s="112"/>
      <c r="V2" s="112"/>
      <c r="W2" s="112"/>
      <c r="X2" s="112"/>
      <c r="Y2" s="113"/>
      <c r="AA2" s="29" t="s">
        <v>19</v>
      </c>
    </row>
    <row r="3" spans="1:31" ht="14.45" thickBot="1">
      <c r="H3" s="30"/>
      <c r="I3" s="30"/>
      <c r="J3" s="31">
        <v>9.9</v>
      </c>
      <c r="K3" s="31">
        <v>9.9</v>
      </c>
      <c r="L3" s="31">
        <v>9.9</v>
      </c>
      <c r="M3" s="32">
        <v>14</v>
      </c>
      <c r="N3" s="32">
        <v>16</v>
      </c>
      <c r="O3" s="32">
        <v>16</v>
      </c>
      <c r="P3" s="32">
        <v>16</v>
      </c>
      <c r="Q3" s="32">
        <v>16</v>
      </c>
      <c r="R3" s="32">
        <v>16</v>
      </c>
      <c r="S3" s="32">
        <v>20</v>
      </c>
      <c r="T3" s="32">
        <v>16</v>
      </c>
      <c r="U3" s="33" t="s">
        <v>20</v>
      </c>
      <c r="V3" s="34" t="s">
        <v>21</v>
      </c>
      <c r="W3" s="34" t="s">
        <v>21</v>
      </c>
      <c r="X3" s="35" t="s">
        <v>18</v>
      </c>
      <c r="Y3">
        <v>0.70635000000000003</v>
      </c>
      <c r="AD3" s="36"/>
      <c r="AE3" s="37"/>
    </row>
    <row r="4" spans="1:31" ht="14.45" thickBot="1">
      <c r="A4" s="25" t="s">
        <v>22</v>
      </c>
      <c r="B4" s="38"/>
      <c r="C4" s="38"/>
      <c r="D4" s="38"/>
      <c r="E4" s="26"/>
      <c r="G4" s="30" t="s">
        <v>23</v>
      </c>
      <c r="H4" s="39" t="s">
        <v>24</v>
      </c>
      <c r="I4" s="40"/>
      <c r="J4" s="41" t="s">
        <v>9</v>
      </c>
      <c r="K4" s="42" t="s">
        <v>25</v>
      </c>
      <c r="L4" s="42" t="s">
        <v>26</v>
      </c>
      <c r="M4" s="34" t="s">
        <v>27</v>
      </c>
      <c r="N4" s="34" t="s">
        <v>28</v>
      </c>
      <c r="O4" s="34" t="s">
        <v>29</v>
      </c>
      <c r="P4" s="34" t="s">
        <v>30</v>
      </c>
      <c r="Q4" s="34" t="s">
        <v>31</v>
      </c>
      <c r="R4" s="34" t="s">
        <v>32</v>
      </c>
      <c r="S4" s="34" t="s">
        <v>33</v>
      </c>
      <c r="T4" s="34" t="s">
        <v>34</v>
      </c>
      <c r="U4" s="34" t="s">
        <v>20</v>
      </c>
      <c r="V4" s="34" t="s">
        <v>35</v>
      </c>
      <c r="W4" s="34" t="s">
        <v>36</v>
      </c>
      <c r="X4" s="35" t="s">
        <v>18</v>
      </c>
      <c r="Y4" s="34" t="s">
        <v>37</v>
      </c>
      <c r="Z4" s="34" t="s">
        <v>38</v>
      </c>
      <c r="AA4" s="34" t="s">
        <v>39</v>
      </c>
      <c r="AB4" s="34" t="s">
        <v>40</v>
      </c>
      <c r="AC4" s="34" t="s">
        <v>41</v>
      </c>
      <c r="AD4" s="35" t="s">
        <v>42</v>
      </c>
      <c r="AE4" s="40">
        <v>16</v>
      </c>
    </row>
    <row r="5" spans="1:31">
      <c r="A5" s="43" t="s">
        <v>1</v>
      </c>
      <c r="B5" t="s">
        <v>2</v>
      </c>
      <c r="C5" t="s">
        <v>4</v>
      </c>
      <c r="E5" s="36"/>
      <c r="G5" t="str">
        <f>Tétellista!H23</f>
        <v>Szoba</v>
      </c>
      <c r="H5" s="44">
        <f>Tétellista!I23</f>
        <v>0</v>
      </c>
      <c r="I5" s="45">
        <f t="shared" ref="I5:I10" si="0">VLOOKUP(G5,$H$15:$I$20,2,FALSE)</f>
        <v>0.15</v>
      </c>
      <c r="J5" s="38">
        <f t="shared" ref="J5:T10" si="1">ROUNDUP($H5/VLOOKUP($G5,$H$15:$M$20,MATCH(J$3,$H$14:$M$14,0),FALSE),0)</f>
        <v>0</v>
      </c>
      <c r="K5" s="38">
        <f t="shared" si="1"/>
        <v>0</v>
      </c>
      <c r="L5" s="38">
        <f t="shared" si="1"/>
        <v>0</v>
      </c>
      <c r="M5" s="38">
        <f t="shared" si="1"/>
        <v>0</v>
      </c>
      <c r="N5" s="38">
        <f t="shared" si="1"/>
        <v>0</v>
      </c>
      <c r="O5" s="38">
        <f t="shared" si="1"/>
        <v>0</v>
      </c>
      <c r="P5" s="38">
        <f t="shared" si="1"/>
        <v>0</v>
      </c>
      <c r="Q5" s="38">
        <f t="shared" si="1"/>
        <v>0</v>
      </c>
      <c r="R5" s="38">
        <f t="shared" si="1"/>
        <v>0</v>
      </c>
      <c r="S5" s="38">
        <f t="shared" si="1"/>
        <v>0</v>
      </c>
      <c r="T5" s="38">
        <f t="shared" si="1"/>
        <v>0</v>
      </c>
      <c r="U5" s="38">
        <f t="shared" ref="U5:X10" si="2">ROUNDUP($H5/VLOOKUP($G5,$H$15:$P$20,MATCH(U$3,$H$14:$P$14,0),FALSE),0)</f>
        <v>0</v>
      </c>
      <c r="V5" s="38"/>
      <c r="W5" s="38">
        <f t="shared" si="2"/>
        <v>0</v>
      </c>
      <c r="X5" s="26">
        <f t="shared" si="2"/>
        <v>0</v>
      </c>
      <c r="Y5">
        <f t="shared" ref="Y5:Y10" si="3">ROUNDUP(H5/$Y$3,0)</f>
        <v>0</v>
      </c>
      <c r="Z5">
        <f t="shared" ref="Z5:Z10" si="4">IFERROR(ROUNDUP(Y5/X5,0),0)</f>
        <v>0</v>
      </c>
      <c r="AA5">
        <f t="shared" ref="AA5:AA10" si="5">VLOOKUP(Z5,$R$15:$S$37,2,FALSE)</f>
        <v>0</v>
      </c>
      <c r="AB5">
        <f t="shared" ref="AB5:AB10" si="6">X5*2</f>
        <v>0</v>
      </c>
      <c r="AC5">
        <f t="shared" ref="AC5:AC10" si="7">AA5*X5*2</f>
        <v>0</v>
      </c>
      <c r="AD5" s="36">
        <f t="shared" ref="AD5:AD10" si="8">Y5*2-AC5-AB5</f>
        <v>0</v>
      </c>
      <c r="AE5" s="46">
        <f t="shared" ref="AE5:AE10" si="9">H5/I5</f>
        <v>0</v>
      </c>
    </row>
    <row r="6" spans="1:31">
      <c r="A6" s="43">
        <f>IF(HLOOKUP($B$1,'Rendszer cikkszámok'!$J$3:$Y$12,2,FALSE)=0,"",HLOOKUP($B$1,'Rendszer cikkszámok'!$J$3:$Y$12,2,FALSE))</f>
        <v>1005261</v>
      </c>
      <c r="B6" t="str">
        <f>_xlfn.IFNA(VLOOKUP(A6,'Rendszer cikkszámok'!$D$3:$E$84,2,FALSE),"")</f>
        <v>Uponor Minitec rendszerlemez 1100x700x12mm</v>
      </c>
      <c r="C6" s="47">
        <f>_xlfn.IFNA(VLOOKUP(A6,'Rendszer cikkszámok'!$D$3:$F$83,3,FALSE),"")</f>
        <v>0</v>
      </c>
      <c r="D6" t="str">
        <f>_xlfn.IFNA(VLOOKUP(A6,'Rendszer cikkszámok'!$D$3:$G$66,4,FALSE),"")</f>
        <v>m2</v>
      </c>
      <c r="E6" s="36">
        <f>_xlfn.IFNA(VLOOKUP(A6,'Rendszer cikkszámok'!$D$3:$H$66,5,FALSE),"")</f>
        <v>15.4</v>
      </c>
      <c r="G6" t="str">
        <f>Tétellista!H24</f>
        <v>Szoba</v>
      </c>
      <c r="H6" s="48">
        <f>Tétellista!I24</f>
        <v>0</v>
      </c>
      <c r="I6" s="49">
        <f t="shared" si="0"/>
        <v>0.15</v>
      </c>
      <c r="J6">
        <f>ROUNDUP($H6/VLOOKUP(G6,$H$15:$M$20,MATCH(J$3,$H$14:$M$14,0),FALSE),0)</f>
        <v>0</v>
      </c>
      <c r="K6">
        <f t="shared" si="1"/>
        <v>0</v>
      </c>
      <c r="L6">
        <f t="shared" si="1"/>
        <v>0</v>
      </c>
      <c r="M6">
        <f t="shared" si="1"/>
        <v>0</v>
      </c>
      <c r="N6">
        <f t="shared" si="1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2"/>
        <v>0</v>
      </c>
      <c r="W6">
        <f t="shared" si="2"/>
        <v>0</v>
      </c>
      <c r="X6" s="36">
        <f t="shared" si="2"/>
        <v>0</v>
      </c>
      <c r="Y6">
        <f t="shared" si="3"/>
        <v>0</v>
      </c>
      <c r="Z6">
        <f t="shared" si="4"/>
        <v>0</v>
      </c>
      <c r="AA6">
        <f t="shared" si="5"/>
        <v>0</v>
      </c>
      <c r="AB6">
        <f t="shared" si="6"/>
        <v>0</v>
      </c>
      <c r="AC6">
        <f t="shared" si="7"/>
        <v>0</v>
      </c>
      <c r="AD6" s="36">
        <f t="shared" si="8"/>
        <v>0</v>
      </c>
      <c r="AE6" s="50">
        <f t="shared" si="9"/>
        <v>0</v>
      </c>
    </row>
    <row r="7" spans="1:31">
      <c r="A7" s="43">
        <f>IF(HLOOKUP($B$1,'Rendszer cikkszámok'!$J$3:$Y$12,3,FALSE)=0,"",HLOOKUP($B$1,'Rendszer cikkszámok'!$J$3:$Y$12,3,FALSE))</f>
        <v>1063289</v>
      </c>
      <c r="B7" t="str">
        <f>_xlfn.IFNA(VLOOKUP(A7,'Rendszer cikkszámok'!$D$3:$E$84,2,FALSE),"")</f>
        <v>Uponor Minitec Comfort cső 9.9x1.1 240m</v>
      </c>
      <c r="C7" s="47">
        <f>_xlfn.IFNA(VLOOKUP(A7,'Rendszer cikkszámok'!$D$3:$F$83,3,FALSE),"")</f>
        <v>0</v>
      </c>
      <c r="D7" t="str">
        <f>_xlfn.IFNA(VLOOKUP(A7,'Rendszer cikkszámok'!$D$3:$G$66,4,FALSE),"")</f>
        <v>m</v>
      </c>
      <c r="E7" s="36">
        <f>_xlfn.IFNA(VLOOKUP(A7,'Rendszer cikkszámok'!$D$3:$H$66,5,FALSE),"")</f>
        <v>240</v>
      </c>
      <c r="G7" t="str">
        <f>Tétellista!H25</f>
        <v>Szoba</v>
      </c>
      <c r="H7" s="48">
        <f>Tétellista!I25</f>
        <v>0</v>
      </c>
      <c r="I7" s="49">
        <f t="shared" si="0"/>
        <v>0.15</v>
      </c>
      <c r="J7">
        <f>ROUNDUP($H7/VLOOKUP(G7,$H$15:$M$20,MATCH(J$3,$H$14:$M$14,0),FALSE),0)</f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1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2"/>
        <v>0</v>
      </c>
      <c r="W7">
        <f t="shared" si="2"/>
        <v>0</v>
      </c>
      <c r="X7" s="36">
        <f t="shared" si="2"/>
        <v>0</v>
      </c>
      <c r="Y7">
        <f t="shared" si="3"/>
        <v>0</v>
      </c>
      <c r="Z7">
        <f t="shared" si="4"/>
        <v>0</v>
      </c>
      <c r="AA7">
        <f t="shared" si="5"/>
        <v>0</v>
      </c>
      <c r="AB7">
        <f t="shared" si="6"/>
        <v>0</v>
      </c>
      <c r="AC7">
        <f t="shared" si="7"/>
        <v>0</v>
      </c>
      <c r="AD7" s="36">
        <f t="shared" si="8"/>
        <v>0</v>
      </c>
      <c r="AE7" s="50">
        <f t="shared" si="9"/>
        <v>0</v>
      </c>
    </row>
    <row r="8" spans="1:31">
      <c r="A8" s="43">
        <f>IF(HLOOKUP($B$1,'Rendszer cikkszámok'!$J$3:$Y$12,4,FALSE)=0,"",HLOOKUP($B$1,'Rendszer cikkszámok'!$J$3:$Y$12,4,FALSE))</f>
        <v>1005267</v>
      </c>
      <c r="B8" t="str">
        <f>_xlfn.IFNA(VLOOKUP(A8,'Rendszer cikkszámok'!$D$3:$E$84,2,FALSE),"")</f>
        <v xml:space="preserve">Uponor Minitec szegélyszigetelés 80x8 mm 20m </v>
      </c>
      <c r="C8" s="47">
        <f>_xlfn.IFNA(VLOOKUP(A8,'Rendszer cikkszámok'!$D$3:$F$83,3,FALSE),"")</f>
        <v>0</v>
      </c>
      <c r="D8" t="str">
        <f>_xlfn.IFNA(VLOOKUP(A8,'Rendszer cikkszámok'!$D$3:$G$66,4,FALSE),"")</f>
        <v>m</v>
      </c>
      <c r="E8" s="36">
        <f>_xlfn.IFNA(VLOOKUP(A8,'Rendszer cikkszámok'!$D$3:$H$66,5,FALSE),"")</f>
        <v>20</v>
      </c>
      <c r="G8" t="str">
        <f>Tétellista!H26</f>
        <v>Szoba</v>
      </c>
      <c r="H8" s="48">
        <f>Tétellista!I26</f>
        <v>0</v>
      </c>
      <c r="I8" s="49">
        <f t="shared" si="0"/>
        <v>0.15</v>
      </c>
      <c r="J8">
        <f>ROUNDUP($H8/VLOOKUP(G8,$H$15:$M$20,MATCH(J$3,$H$14:$M$14,0),FALSE),0)</f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2"/>
        <v>0</v>
      </c>
      <c r="W8">
        <f t="shared" si="2"/>
        <v>0</v>
      </c>
      <c r="X8" s="36">
        <f t="shared" si="2"/>
        <v>0</v>
      </c>
      <c r="Y8">
        <f t="shared" si="3"/>
        <v>0</v>
      </c>
      <c r="Z8">
        <f t="shared" si="4"/>
        <v>0</v>
      </c>
      <c r="AA8">
        <f t="shared" si="5"/>
        <v>0</v>
      </c>
      <c r="AB8">
        <f t="shared" si="6"/>
        <v>0</v>
      </c>
      <c r="AC8">
        <f t="shared" si="7"/>
        <v>0</v>
      </c>
      <c r="AD8" s="36">
        <f t="shared" si="8"/>
        <v>0</v>
      </c>
      <c r="AE8" s="50">
        <f t="shared" si="9"/>
        <v>0</v>
      </c>
    </row>
    <row r="9" spans="1:31">
      <c r="A9" s="43">
        <f>IF(HLOOKUP($B$1,'Rendszer cikkszámok'!$J$3:$Y$12,5,FALSE)=0,"",HLOOKUP($B$1,'Rendszer cikkszámok'!$J$3:$Y$12,5,FALSE))</f>
        <v>1013426</v>
      </c>
      <c r="B9" t="str">
        <f>_xlfn.IFNA(VLOOKUP(A9,'Rendszer cikkszámok'!$D$3:$E$84,2,FALSE),"")</f>
        <v>Uponor Minitec szorítógyűrűs csavarzat 9,9×1,1-3/4"</v>
      </c>
      <c r="C9" s="47">
        <f>_xlfn.IFNA(VLOOKUP(A9,'Rendszer cikkszámok'!$D$3:$F$83,3,FALSE),"")</f>
        <v>0</v>
      </c>
      <c r="D9" t="str">
        <f>_xlfn.IFNA(VLOOKUP(A9,'Rendszer cikkszámok'!$D$3:$G$66,4,FALSE),"")</f>
        <v>db</v>
      </c>
      <c r="E9" s="36">
        <f>_xlfn.IFNA(VLOOKUP(A9,'Rendszer cikkszámok'!$D$3:$H$66,5,FALSE),"")</f>
        <v>1</v>
      </c>
      <c r="G9" t="str">
        <f>Tétellista!H27</f>
        <v>Szoba</v>
      </c>
      <c r="H9" s="48">
        <f>Tétellista!I27</f>
        <v>0</v>
      </c>
      <c r="I9" s="49">
        <f t="shared" si="0"/>
        <v>0.15</v>
      </c>
      <c r="J9">
        <f>ROUNDUP($H9/VLOOKUP(G9,$H$15:$M$20,MATCH(J$3,$H$14:$M$14,0),FALSE),0)</f>
        <v>0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0</v>
      </c>
      <c r="R9">
        <f t="shared" si="1"/>
        <v>0</v>
      </c>
      <c r="S9">
        <f t="shared" si="1"/>
        <v>0</v>
      </c>
      <c r="T9">
        <f t="shared" si="1"/>
        <v>0</v>
      </c>
      <c r="U9">
        <f t="shared" si="2"/>
        <v>0</v>
      </c>
      <c r="W9">
        <f t="shared" si="2"/>
        <v>0</v>
      </c>
      <c r="X9" s="36">
        <f t="shared" si="2"/>
        <v>0</v>
      </c>
      <c r="Y9">
        <f t="shared" si="3"/>
        <v>0</v>
      </c>
      <c r="Z9">
        <f t="shared" si="4"/>
        <v>0</v>
      </c>
      <c r="AA9">
        <f t="shared" si="5"/>
        <v>0</v>
      </c>
      <c r="AB9">
        <f t="shared" si="6"/>
        <v>0</v>
      </c>
      <c r="AC9">
        <f t="shared" si="7"/>
        <v>0</v>
      </c>
      <c r="AD9" s="36">
        <f t="shared" si="8"/>
        <v>0</v>
      </c>
      <c r="AE9" s="50">
        <f t="shared" si="9"/>
        <v>0</v>
      </c>
    </row>
    <row r="10" spans="1:31" ht="14.45" thickBot="1">
      <c r="A10" s="43">
        <f>IF(HLOOKUP($B$1,'Rendszer cikkszámok'!$J$3:$Y$12,6,FALSE)=0,"",HLOOKUP($B$1,'Rendszer cikkszámok'!$J$3:$Y$12,6,FALSE))</f>
        <v>1135490</v>
      </c>
      <c r="B10" t="str">
        <f>_xlfn.IFNA(VLOOKUP(A10,'Rendszer cikkszámok'!$D$3:$E$84,2,FALSE),"")</f>
        <v>Uponor Multi műanyag csőrögzítő ív 9,9-12</v>
      </c>
      <c r="C10" s="47">
        <f>_xlfn.IFNA(VLOOKUP(A10,'Rendszer cikkszámok'!$D$3:$F$83,3,FALSE),"")</f>
        <v>0</v>
      </c>
      <c r="D10" t="str">
        <f>_xlfn.IFNA(VLOOKUP(A10,'Rendszer cikkszámok'!$D$3:$G$66,4,FALSE),"")</f>
        <v>db</v>
      </c>
      <c r="E10" s="36">
        <f>_xlfn.IFNA(VLOOKUP(A10,'Rendszer cikkszámok'!$D$3:$H$66,5,FALSE),"")</f>
        <v>1</v>
      </c>
      <c r="G10" t="str">
        <f>Tétellista!H28</f>
        <v>Szoba</v>
      </c>
      <c r="H10" s="48">
        <f>Tétellista!I28</f>
        <v>0</v>
      </c>
      <c r="I10" s="49">
        <f t="shared" si="0"/>
        <v>0.15</v>
      </c>
      <c r="J10" s="51">
        <f>ROUNDUP($H10/VLOOKUP(G10,$H$15:$M$20,MATCH(J$3,$H$14:$M$14,0),FALSE),0)</f>
        <v>0</v>
      </c>
      <c r="K10" s="51">
        <f t="shared" si="1"/>
        <v>0</v>
      </c>
      <c r="L10" s="51">
        <f t="shared" si="1"/>
        <v>0</v>
      </c>
      <c r="M10" s="51">
        <f t="shared" si="1"/>
        <v>0</v>
      </c>
      <c r="N10" s="51">
        <f t="shared" si="1"/>
        <v>0</v>
      </c>
      <c r="O10" s="51">
        <f t="shared" si="1"/>
        <v>0</v>
      </c>
      <c r="P10" s="51">
        <f t="shared" si="1"/>
        <v>0</v>
      </c>
      <c r="Q10" s="51">
        <f t="shared" si="1"/>
        <v>0</v>
      </c>
      <c r="R10" s="51">
        <f t="shared" si="1"/>
        <v>0</v>
      </c>
      <c r="S10" s="51">
        <f t="shared" si="1"/>
        <v>0</v>
      </c>
      <c r="T10" s="51">
        <f t="shared" si="1"/>
        <v>0</v>
      </c>
      <c r="U10" s="51">
        <f t="shared" si="2"/>
        <v>0</v>
      </c>
      <c r="V10" s="51"/>
      <c r="W10" s="51">
        <f t="shared" si="2"/>
        <v>0</v>
      </c>
      <c r="X10" s="52">
        <f t="shared" si="2"/>
        <v>0</v>
      </c>
      <c r="Y10">
        <f t="shared" si="3"/>
        <v>0</v>
      </c>
      <c r="Z10">
        <f t="shared" si="4"/>
        <v>0</v>
      </c>
      <c r="AA10">
        <f t="shared" si="5"/>
        <v>0</v>
      </c>
      <c r="AB10">
        <f t="shared" si="6"/>
        <v>0</v>
      </c>
      <c r="AC10">
        <f t="shared" si="7"/>
        <v>0</v>
      </c>
      <c r="AD10" s="36">
        <f t="shared" si="8"/>
        <v>0</v>
      </c>
      <c r="AE10" s="53">
        <f t="shared" si="9"/>
        <v>0</v>
      </c>
    </row>
    <row r="11" spans="1:31" ht="14.45" thickBot="1">
      <c r="A11" s="43" t="str">
        <f>IF(HLOOKUP($B$1,'Rendszer cikkszámok'!$J$3:$Y$12,7,FALSE)=0,"",HLOOKUP($B$1,'Rendszer cikkszámok'!$J$3:$Y$12,7,FALSE))</f>
        <v/>
      </c>
      <c r="B11" t="str">
        <f>_xlfn.IFNA(VLOOKUP(A11,'Rendszer cikkszámok'!$D$3:$E$84,2,FALSE),"")</f>
        <v/>
      </c>
      <c r="C11" s="47" t="str">
        <f>_xlfn.IFNA(VLOOKUP(A11,'Rendszer cikkszámok'!$D$3:$F$83,3,FALSE),"")</f>
        <v/>
      </c>
      <c r="D11" t="str">
        <f>_xlfn.IFNA(VLOOKUP(A11,'Rendszer cikkszámok'!$D$3:$G$66,4,FALSE),"")</f>
        <v/>
      </c>
      <c r="E11" s="36" t="str">
        <f>_xlfn.IFNA(VLOOKUP(A11,'Rendszer cikkszámok'!$D$3:$H$66,5,FALSE),"")</f>
        <v/>
      </c>
      <c r="H11" s="54"/>
      <c r="I11" s="55"/>
      <c r="J11" s="51">
        <f t="shared" ref="J11:U11" si="10">SUM(J5:J10)</f>
        <v>0</v>
      </c>
      <c r="K11" s="51">
        <f t="shared" si="10"/>
        <v>0</v>
      </c>
      <c r="L11" s="51">
        <f t="shared" si="10"/>
        <v>0</v>
      </c>
      <c r="M11" s="51">
        <f t="shared" si="10"/>
        <v>0</v>
      </c>
      <c r="N11" s="51">
        <f t="shared" si="10"/>
        <v>0</v>
      </c>
      <c r="O11" s="51">
        <f t="shared" si="10"/>
        <v>0</v>
      </c>
      <c r="P11" s="51">
        <f t="shared" si="10"/>
        <v>0</v>
      </c>
      <c r="Q11" s="51">
        <f t="shared" si="10"/>
        <v>0</v>
      </c>
      <c r="R11" s="51">
        <f t="shared" si="10"/>
        <v>0</v>
      </c>
      <c r="S11" s="51">
        <f t="shared" si="10"/>
        <v>0</v>
      </c>
      <c r="T11" s="51">
        <f t="shared" si="10"/>
        <v>0</v>
      </c>
      <c r="U11" s="51">
        <f t="shared" si="10"/>
        <v>0</v>
      </c>
      <c r="V11" s="51"/>
      <c r="W11" s="51">
        <f>SUM(W5:W10)</f>
        <v>0</v>
      </c>
      <c r="X11" s="52">
        <f>SUM(X5:X10)</f>
        <v>0</v>
      </c>
      <c r="Y11" s="39">
        <f>SUM(Y5:Y10)</f>
        <v>0</v>
      </c>
      <c r="Z11" s="56"/>
      <c r="AA11" s="56"/>
      <c r="AB11" s="56">
        <f>SUM(AB5:AB10)</f>
        <v>0</v>
      </c>
      <c r="AC11" s="56">
        <f>SUM(AC5:AC10)</f>
        <v>0</v>
      </c>
      <c r="AD11" s="57">
        <f>SUM(AD5:AD10)</f>
        <v>0</v>
      </c>
      <c r="AE11" s="53">
        <f>SUM(AE5:AE10)</f>
        <v>0</v>
      </c>
    </row>
    <row r="12" spans="1:31" ht="14.45" thickBot="1">
      <c r="A12" s="43" t="str">
        <f>IF(HLOOKUP($B$1,'Rendszer cikkszámok'!$J$3:$Y$12,8,FALSE)=0,"",HLOOKUP($B$1,'Rendszer cikkszámok'!$J$3:$Y$12,8,FALSE))</f>
        <v/>
      </c>
      <c r="B12" t="str">
        <f>_xlfn.IFNA(VLOOKUP(A12,'Rendszer cikkszámok'!$D$3:$E$84,2,FALSE),"")</f>
        <v/>
      </c>
      <c r="C12" s="47" t="str">
        <f>_xlfn.IFNA(VLOOKUP(A12,'Rendszer cikkszámok'!$D$3:$F$83,3,FALSE),"")</f>
        <v/>
      </c>
      <c r="D12" t="str">
        <f>_xlfn.IFNA(VLOOKUP(A12,'Rendszer cikkszámok'!$D$3:$G$66,4,FALSE),"")</f>
        <v/>
      </c>
      <c r="E12" s="36" t="str">
        <f>_xlfn.IFNA(VLOOKUP(A12,'Rendszer cikkszámok'!$D$3:$H$66,5,FALSE),"")</f>
        <v/>
      </c>
    </row>
    <row r="13" spans="1:31">
      <c r="A13" s="43" t="str">
        <f>IF(HLOOKUP($B$1,'Rendszer cikkszámok'!$J$3:$Y$12,9,FALSE)=0,"",HLOOKUP($B$1,'Rendszer cikkszámok'!$J$3:$Y$12,9,FALSE))</f>
        <v/>
      </c>
      <c r="B13" t="str">
        <f>_xlfn.IFNA(VLOOKUP(A13,'Rendszer cikkszámok'!$D$3:$E$84,2,FALSE),"")</f>
        <v/>
      </c>
      <c r="C13" s="47" t="str">
        <f>_xlfn.IFNA(VLOOKUP(A13,'Rendszer cikkszámok'!$D$3:$F$83,3,FALSE),"")</f>
        <v/>
      </c>
      <c r="D13" t="str">
        <f>_xlfn.IFNA(VLOOKUP(A13,'Rendszer cikkszámok'!$D$3:$G$66,4,FALSE),"")</f>
        <v/>
      </c>
      <c r="E13" s="36" t="str">
        <f>_xlfn.IFNA(VLOOKUP(A13,'Rendszer cikkszámok'!$D$3:$H$66,5,FALSE),"")</f>
        <v/>
      </c>
      <c r="H13" s="25"/>
      <c r="I13" s="38"/>
      <c r="J13" s="58" t="s">
        <v>43</v>
      </c>
      <c r="K13" s="58"/>
      <c r="L13" s="58"/>
      <c r="M13" s="58"/>
      <c r="N13" s="58" t="s">
        <v>44</v>
      </c>
      <c r="O13" s="58"/>
      <c r="P13" s="59"/>
      <c r="R13" s="25"/>
      <c r="S13" s="59" t="s">
        <v>45</v>
      </c>
      <c r="U13" s="30"/>
    </row>
    <row r="14" spans="1:31">
      <c r="A14" s="43" t="str">
        <f>IF(HLOOKUP($B$1,'Rendszer cikkszámok'!$J$3:$Y$12,10,FALSE)=0,"",HLOOKUP($B$1,'Rendszer cikkszámok'!$J$3:$Y$12,10,FALSE))</f>
        <v/>
      </c>
      <c r="B14" t="str">
        <f>_xlfn.IFNA(VLOOKUP(A14,'Rendszer cikkszámok'!$D$3:$E$84,2,FALSE),"")</f>
        <v/>
      </c>
      <c r="C14" s="47" t="str">
        <f>_xlfn.IFNA(VLOOKUP(A14,'Rendszer cikkszámok'!$D$3:$F$83,3,FALSE),"")</f>
        <v/>
      </c>
      <c r="D14" t="str">
        <f>_xlfn.IFNA(VLOOKUP(A14,'Rendszer cikkszámok'!$D$3:$G$66,4,FALSE),"")</f>
        <v/>
      </c>
      <c r="E14" s="36" t="str">
        <f>_xlfn.IFNA(VLOOKUP(A14,'Rendszer cikkszámok'!$D$3:$H$66,5,FALSE),"")</f>
        <v/>
      </c>
      <c r="H14" s="60" t="s">
        <v>46</v>
      </c>
      <c r="I14" s="30" t="s">
        <v>47</v>
      </c>
      <c r="J14">
        <v>9.9</v>
      </c>
      <c r="K14">
        <v>14</v>
      </c>
      <c r="L14">
        <v>16</v>
      </c>
      <c r="M14">
        <v>20</v>
      </c>
      <c r="N14" t="s">
        <v>20</v>
      </c>
      <c r="O14" t="s">
        <v>21</v>
      </c>
      <c r="P14" s="36" t="s">
        <v>18</v>
      </c>
      <c r="R14" s="60" t="s">
        <v>37</v>
      </c>
      <c r="S14" s="61" t="s">
        <v>39</v>
      </c>
    </row>
    <row r="15" spans="1:31">
      <c r="A15" s="43">
        <v>1038166</v>
      </c>
      <c r="B15" t="str">
        <f>_xlfn.IFNA(VLOOKUP(A15,'Rendszer cikkszámok'!$D$3:$E$84,2,FALSE),"")</f>
        <v>Uponor Vario Plus automata légtelenítő 3/8"</v>
      </c>
      <c r="C15" s="62">
        <f>_xlfn.IFNA(VLOOKUP(A15,'Rendszer cikkszámok'!$D$3:$F$83,3,FALSE),"")</f>
        <v>0</v>
      </c>
      <c r="D15" t="str">
        <f>_xlfn.IFNA(VLOOKUP(A15,'Rendszer cikkszámok'!$D$3:$G$83,4,FALSE),"")</f>
        <v>db</v>
      </c>
      <c r="E15" s="36">
        <f>_xlfn.IFNA(VLOOKUP(A15,'Rendszer cikkszámok'!$D$3:$H$83,5,FALSE),"")</f>
        <v>1</v>
      </c>
      <c r="H15" s="60" t="s">
        <v>48</v>
      </c>
      <c r="I15">
        <v>0.15</v>
      </c>
      <c r="J15">
        <v>5</v>
      </c>
      <c r="K15">
        <v>12</v>
      </c>
      <c r="L15">
        <v>14</v>
      </c>
      <c r="M15">
        <v>18</v>
      </c>
      <c r="N15">
        <v>11.25</v>
      </c>
      <c r="O15">
        <v>13.5</v>
      </c>
      <c r="P15" s="36">
        <v>14</v>
      </c>
      <c r="R15" s="43">
        <v>0</v>
      </c>
      <c r="S15" s="36">
        <v>0</v>
      </c>
    </row>
    <row r="16" spans="1:31">
      <c r="A16" s="43">
        <v>1059132</v>
      </c>
      <c r="B16" t="str">
        <f>_xlfn.IFNA(VLOOKUP(A16,'Rendszer cikkszámok'!$D$3:$E$84,2,FALSE),"")</f>
        <v>Uponor Vario golyóscsap km/bm 1"/1"</v>
      </c>
      <c r="C16" s="62">
        <f>_xlfn.IFNA(VLOOKUP(A16,'Rendszer cikkszámok'!$D$3:$F$83,3,FALSE),"")</f>
        <v>0</v>
      </c>
      <c r="D16" t="str">
        <f>_xlfn.IFNA(VLOOKUP(A16,'Rendszer cikkszámok'!$D$3:$G$83,4,FALSE),"")</f>
        <v>db</v>
      </c>
      <c r="E16" s="36">
        <f>_xlfn.IFNA(VLOOKUP(A16,'Rendszer cikkszámok'!$D$3:$H$83,5,FALSE),"")</f>
        <v>1</v>
      </c>
      <c r="H16" s="60" t="s">
        <v>49</v>
      </c>
      <c r="I16">
        <v>0.15</v>
      </c>
      <c r="J16">
        <v>5</v>
      </c>
      <c r="K16">
        <v>12</v>
      </c>
      <c r="L16">
        <v>14</v>
      </c>
      <c r="M16">
        <v>18</v>
      </c>
      <c r="N16">
        <v>11.25</v>
      </c>
      <c r="O16">
        <v>13.5</v>
      </c>
      <c r="P16" s="36">
        <v>14</v>
      </c>
      <c r="R16" s="43">
        <v>1</v>
      </c>
      <c r="S16" s="36">
        <v>1</v>
      </c>
    </row>
    <row r="17" spans="1:19">
      <c r="A17" s="43">
        <f>'Osztó Vario PLUS'!J4</f>
        <v>1032702</v>
      </c>
      <c r="B17" t="str">
        <f>_xlfn.IFNA(VLOOKUP(A17,'Rendszer cikkszámok'!$D$3:$E$84,2,FALSE),"")</f>
        <v>Uponor Vario Plus osztó-gyűjtő könyök</v>
      </c>
      <c r="C17" s="62">
        <f>_xlfn.IFNA(VLOOKUP(A17,'Rendszer cikkszámok'!$D$3:$F$83,3,FALSE),"")</f>
        <v>0</v>
      </c>
      <c r="D17" t="str">
        <f>_xlfn.IFNA(VLOOKUP(A17,'Rendszer cikkszámok'!$D$3:$G$83,4,FALSE),"")</f>
        <v>pár</v>
      </c>
      <c r="E17" s="36">
        <f>_xlfn.IFNA(VLOOKUP(A17,'Rendszer cikkszámok'!$D$3:$H$83,5,FALSE),"")</f>
        <v>1</v>
      </c>
      <c r="H17" s="60" t="s">
        <v>11</v>
      </c>
      <c r="I17">
        <v>0.15</v>
      </c>
      <c r="J17">
        <v>5</v>
      </c>
      <c r="K17">
        <v>12</v>
      </c>
      <c r="L17">
        <v>14</v>
      </c>
      <c r="M17">
        <v>18</v>
      </c>
      <c r="N17">
        <v>11.25</v>
      </c>
      <c r="O17">
        <v>13.5</v>
      </c>
      <c r="P17" s="36">
        <v>14</v>
      </c>
      <c r="R17" s="43">
        <v>2</v>
      </c>
      <c r="S17" s="36">
        <v>1</v>
      </c>
    </row>
    <row r="18" spans="1:19">
      <c r="A18" s="43">
        <f>'Rendszer cikkszámok'!D47</f>
        <v>1009209</v>
      </c>
      <c r="B18" t="str">
        <f>_xlfn.IFNA(VLOOKUP(A18,'Rendszer cikkszámok'!$D$3:$E$84,2,FALSE),"")</f>
        <v>Uponor Vario Plus osztó-gyűjtő alapkészlet</v>
      </c>
      <c r="C18" s="62">
        <f>_xlfn.IFNA(VLOOKUP(A18,'Rendszer cikkszámok'!$D$3:$F$83,3,FALSE),"")</f>
        <v>0</v>
      </c>
      <c r="D18" t="str">
        <f>_xlfn.IFNA(VLOOKUP(A18,'Rendszer cikkszámok'!$D$3:$G$83,4,FALSE),"")</f>
        <v>db</v>
      </c>
      <c r="E18" s="36">
        <f>_xlfn.IFNA(VLOOKUP(A18,'Rendszer cikkszámok'!$D$3:$H$83,5,FALSE),"")</f>
        <v>1</v>
      </c>
      <c r="H18" s="60" t="s">
        <v>50</v>
      </c>
      <c r="I18">
        <v>0.15</v>
      </c>
      <c r="J18">
        <v>5</v>
      </c>
      <c r="K18">
        <v>12</v>
      </c>
      <c r="L18">
        <v>14</v>
      </c>
      <c r="M18">
        <v>18</v>
      </c>
      <c r="N18">
        <v>11.25</v>
      </c>
      <c r="O18">
        <v>13.5</v>
      </c>
      <c r="P18" s="36">
        <v>14</v>
      </c>
      <c r="R18" s="43">
        <v>3</v>
      </c>
      <c r="S18" s="36">
        <v>1</v>
      </c>
    </row>
    <row r="19" spans="1:19">
      <c r="A19" s="43" t="str">
        <f>IF(_xlfn.IFNA(VLOOKUP(HLOOKUP(Processzor!$B$1,Processzor!$J$4:$X$11,8,FALSE),'Osztó Vario PLUS'!$A$4:$T$40,15,FALSE),"")=0,"",_xlfn.IFNA(VLOOKUP(HLOOKUP(Processzor!$B$1,Processzor!$J$4:$X$11,8,FALSE),'Osztó Vario PLUS'!$A$4:$T$40,15,FALSE),""))</f>
        <v/>
      </c>
      <c r="B19" t="str">
        <f>_xlfn.IFNA(VLOOKUP(A19,'Rendszer cikkszámok'!$D$3:$E$84,2,FALSE),"")</f>
        <v/>
      </c>
      <c r="C19" s="62" t="str">
        <f>_xlfn.IFNA(VLOOKUP(A19,'Rendszer cikkszámok'!$D$3:$F$83,3,FALSE),"")</f>
        <v/>
      </c>
      <c r="D19" t="str">
        <f>_xlfn.IFNA(VLOOKUP(A19,'Rendszer cikkszámok'!$D$3:$G$83,4,FALSE),"")</f>
        <v/>
      </c>
      <c r="E19" s="36" t="str">
        <f>_xlfn.IFNA(VLOOKUP(A19,'Rendszer cikkszámok'!$D$3:$H$83,5,FALSE),"")</f>
        <v/>
      </c>
      <c r="H19" s="60" t="s">
        <v>51</v>
      </c>
      <c r="I19">
        <v>0.1</v>
      </c>
      <c r="J19">
        <v>5</v>
      </c>
      <c r="K19">
        <v>12</v>
      </c>
      <c r="L19">
        <v>9</v>
      </c>
      <c r="M19">
        <v>18</v>
      </c>
      <c r="N19">
        <v>11.25</v>
      </c>
      <c r="O19">
        <v>13.5</v>
      </c>
      <c r="P19" s="36">
        <v>14</v>
      </c>
      <c r="R19" s="43">
        <v>4</v>
      </c>
      <c r="S19" s="36">
        <v>1</v>
      </c>
    </row>
    <row r="20" spans="1:19" ht="14.45" thickBot="1">
      <c r="A20" s="43" t="str">
        <f>IF(_xlfn.IFNA(VLOOKUP(HLOOKUP(Processzor!$B$1,Processzor!$J$4:$X$11,8,FALSE),'Osztó Vario PLUS'!$A$4:$T$40,16,FALSE),"")=0,"",_xlfn.IFNA(VLOOKUP(HLOOKUP(Processzor!$B$1,Processzor!$J$4:$X$11,8,FALSE),'Osztó Vario PLUS'!$A$4:$T$40,16,FALSE),""))</f>
        <v/>
      </c>
      <c r="B20" t="str">
        <f>_xlfn.IFNA(VLOOKUP(A20,'Rendszer cikkszámok'!$D$3:$E$84,2,FALSE),"")</f>
        <v/>
      </c>
      <c r="C20" s="62" t="str">
        <f>_xlfn.IFNA(VLOOKUP(A20,'Rendszer cikkszámok'!$D$3:$F$83,3,FALSE),"")</f>
        <v/>
      </c>
      <c r="D20" t="str">
        <f>_xlfn.IFNA(VLOOKUP(A20,'Rendszer cikkszámok'!$D$3:$G$83,4,FALSE),"")</f>
        <v/>
      </c>
      <c r="E20" s="36" t="str">
        <f>_xlfn.IFNA(VLOOKUP(A20,'Rendszer cikkszámok'!$D$3:$H$83,5,FALSE),"")</f>
        <v/>
      </c>
      <c r="H20" s="63" t="s">
        <v>52</v>
      </c>
      <c r="I20" s="51">
        <v>0.3</v>
      </c>
      <c r="J20" s="51">
        <v>5</v>
      </c>
      <c r="K20" s="51">
        <v>12</v>
      </c>
      <c r="L20" s="51">
        <v>25</v>
      </c>
      <c r="M20" s="51">
        <v>18</v>
      </c>
      <c r="N20" s="51">
        <v>11.25</v>
      </c>
      <c r="O20" s="51">
        <v>13.5</v>
      </c>
      <c r="P20" s="52">
        <v>14</v>
      </c>
      <c r="R20" s="43">
        <v>5</v>
      </c>
      <c r="S20" s="36">
        <v>1</v>
      </c>
    </row>
    <row r="21" spans="1:19">
      <c r="A21" s="43" t="str">
        <f>IF(_xlfn.IFNA(VLOOKUP(HLOOKUP(Processzor!$B$1,Processzor!$J$4:$X$11,8,FALSE),'Osztó Vario PLUS'!$A$4:$T$40,17,FALSE),"")=0,"",_xlfn.IFNA(VLOOKUP(HLOOKUP(Processzor!$B$1,Processzor!$J$4:$X$11,8,FALSE),'Osztó Vario PLUS'!$A$4:$T$40,17,FALSE),""))</f>
        <v/>
      </c>
      <c r="B21" t="str">
        <f>_xlfn.IFNA(VLOOKUP(A21,'Rendszer cikkszámok'!$D$3:$E$84,2,FALSE),"")</f>
        <v/>
      </c>
      <c r="C21" s="62" t="str">
        <f>_xlfn.IFNA(VLOOKUP(A21,'Rendszer cikkszámok'!$D$3:$F$83,3,FALSE),"")</f>
        <v/>
      </c>
      <c r="D21" t="str">
        <f>_xlfn.IFNA(VLOOKUP(A21,'Rendszer cikkszámok'!$D$3:$G$83,4,FALSE),"")</f>
        <v/>
      </c>
      <c r="E21" s="36" t="str">
        <f>_xlfn.IFNA(VLOOKUP(A21,'Rendszer cikkszámok'!$D$3:$H$83,5,FALSE),"")</f>
        <v/>
      </c>
      <c r="R21" s="43">
        <v>6</v>
      </c>
      <c r="S21" s="36">
        <v>2</v>
      </c>
    </row>
    <row r="22" spans="1:19">
      <c r="A22" s="43" t="str">
        <f>IF(_xlfn.IFNA(VLOOKUP(HLOOKUP(Processzor!$B$1,Processzor!$J$4:$X$11,8,FALSE),'Osztó Vario PLUS'!$A$4:$T$40,18,FALSE),"")=0,"",_xlfn.IFNA(VLOOKUP(HLOOKUP(Processzor!$B$1,Processzor!$J$4:$X$11,8,FALSE),'Osztó Vario PLUS'!$A$4:$T$40,18,FALSE),""))</f>
        <v/>
      </c>
      <c r="B22" t="str">
        <f>_xlfn.IFNA(VLOOKUP(A22,'Rendszer cikkszámok'!$D$3:$E$84,2,FALSE),"")</f>
        <v/>
      </c>
      <c r="C22" s="62" t="str">
        <f>_xlfn.IFNA(VLOOKUP(A22,'Rendszer cikkszámok'!$D$3:$F$83,3,FALSE),"")</f>
        <v/>
      </c>
      <c r="D22" t="str">
        <f>_xlfn.IFNA(VLOOKUP(A22,'Rendszer cikkszámok'!$D$3:$G$83,4,FALSE),"")</f>
        <v/>
      </c>
      <c r="E22" s="36" t="str">
        <f>_xlfn.IFNA(VLOOKUP(A22,'Rendszer cikkszámok'!$D$3:$H$83,5,FALSE),"")</f>
        <v/>
      </c>
      <c r="R22" s="43">
        <v>7</v>
      </c>
      <c r="S22" s="36">
        <v>2</v>
      </c>
    </row>
    <row r="23" spans="1:19">
      <c r="A23" s="43" t="str">
        <f>IF(_xlfn.IFNA(VLOOKUP(HLOOKUP(Processzor!$B$1,Processzor!$J$4:$X$11,8,FALSE),'Osztó Vario PLUS'!$A$4:$T$40,19,FALSE),"")=0,"",_xlfn.IFNA(VLOOKUP(HLOOKUP(Processzor!$B$1,Processzor!$J$4:$X$11,8,FALSE),'Osztó Vario PLUS'!$A$4:$T$40,19,FALSE),""))</f>
        <v/>
      </c>
      <c r="B23" t="str">
        <f>_xlfn.IFNA(VLOOKUP(A23,'Rendszer cikkszámok'!$D$3:$E$84,2,FALSE),"")</f>
        <v/>
      </c>
      <c r="C23" s="64" t="str">
        <f>_xlfn.IFNA(VLOOKUP(A23,'Rendszer cikkszámok'!$D$3:$F$83,3,FALSE),"")</f>
        <v/>
      </c>
      <c r="D23" t="str">
        <f>_xlfn.IFNA(VLOOKUP(A23,'Rendszer cikkszámok'!$D$3:$G$83,4,FALSE),"")</f>
        <v/>
      </c>
      <c r="E23" s="36" t="str">
        <f>_xlfn.IFNA(VLOOKUP(A23,'Rendszer cikkszámok'!$D$3:$H$83,5,FALSE),"")</f>
        <v/>
      </c>
      <c r="R23" s="43">
        <v>8</v>
      </c>
      <c r="S23" s="36">
        <v>2</v>
      </c>
    </row>
    <row r="24" spans="1:19">
      <c r="A24" s="43" t="str">
        <f>IF(_xlfn.IFNA(VLOOKUP(HLOOKUP(Processzor!$B$1,Processzor!$J$4:$X$11,8,FALSE),'Osztó Vario PLUS'!$A$4:$T$40,20,FALSE),"")=0,"",_xlfn.IFNA(VLOOKUP(HLOOKUP(Processzor!$B$1,Processzor!$J$4:$X$11,8,FALSE),'Osztó Vario PLUS'!$A$4:$T$40,20,FALSE),""))</f>
        <v/>
      </c>
      <c r="B24" t="str">
        <f>_xlfn.IFNA(VLOOKUP(A24,'Rendszer cikkszámok'!$D$3:$E$84,2,FALSE),"")</f>
        <v/>
      </c>
      <c r="C24" s="64" t="str">
        <f>_xlfn.IFNA(VLOOKUP(A24,'Rendszer cikkszámok'!$D$3:$F$83,3,FALSE),"")</f>
        <v/>
      </c>
      <c r="D24" t="str">
        <f>_xlfn.IFNA(VLOOKUP(A24,'Rendszer cikkszámok'!$D$3:$G$83,4,FALSE),"")</f>
        <v/>
      </c>
      <c r="E24" s="36" t="str">
        <f>_xlfn.IFNA(VLOOKUP(A24,'Rendszer cikkszámok'!$D$3:$H$83,5,FALSE),"")</f>
        <v/>
      </c>
      <c r="R24" s="43">
        <v>9</v>
      </c>
      <c r="S24" s="36">
        <v>2</v>
      </c>
    </row>
    <row r="25" spans="1:19">
      <c r="A25" s="43" t="str">
        <f>IF(_xlfn.IFNA(VLOOKUP(HLOOKUP(Processzor!$B$1,Processzor!$J$4:$X$11,8,FALSE),'Osztó Vario PLUS'!$A$4:$T$40,20,FALSE),"")=0,"",_xlfn.IFNA(VLOOKUP(HLOOKUP(Processzor!$B$1,Processzor!$J$4:$X$11,8,FALSE),'Osztó Vario PLUS'!$A$4:$T$40,20,FALSE),""))</f>
        <v/>
      </c>
      <c r="B25" t="str">
        <f>_xlfn.IFNA(VLOOKUP(A25,'Rendszer cikkszámok'!$D$3:$E$84,2,FALSE),"")</f>
        <v/>
      </c>
      <c r="C25" s="64" t="str">
        <f>_xlfn.IFNA(VLOOKUP(A25,'Rendszer cikkszámok'!$D$3:$F$83,3,FALSE),"")</f>
        <v/>
      </c>
      <c r="D25" t="str">
        <f>_xlfn.IFNA(VLOOKUP(A25,'Rendszer cikkszámok'!$D$3:$G$83,4,FALSE),"")</f>
        <v/>
      </c>
      <c r="E25" s="36" t="str">
        <f>_xlfn.IFNA(VLOOKUP(A25,'Rendszer cikkszámok'!$D$3:$H$83,5,FALSE),"")</f>
        <v/>
      </c>
      <c r="R25" s="43">
        <v>10</v>
      </c>
      <c r="S25" s="36">
        <v>2</v>
      </c>
    </row>
    <row r="26" spans="1:19">
      <c r="B26" t="str">
        <f>_xlfn.IFNA(VLOOKUP(A26,'Rendszer cikkszámok'!$D$3:$E$84,2,FALSE),"")</f>
        <v/>
      </c>
      <c r="R26" s="43">
        <v>11</v>
      </c>
      <c r="S26" s="36">
        <v>3</v>
      </c>
    </row>
    <row r="27" spans="1:19">
      <c r="R27" s="43">
        <v>12</v>
      </c>
      <c r="S27" s="36">
        <v>3</v>
      </c>
    </row>
    <row r="28" spans="1:19">
      <c r="R28" s="43">
        <v>13</v>
      </c>
      <c r="S28" s="36">
        <v>3</v>
      </c>
    </row>
    <row r="29" spans="1:19">
      <c r="R29" s="43">
        <v>14</v>
      </c>
      <c r="S29" s="36">
        <v>3</v>
      </c>
    </row>
    <row r="30" spans="1:19">
      <c r="B30" t="str">
        <f>_xlfn.IFNA(VLOOKUP(A30,'Rendszer cikkszámok'!$D$3:$E$84,2,FALSE),"")</f>
        <v/>
      </c>
      <c r="R30" s="43">
        <v>15</v>
      </c>
      <c r="S30" s="36">
        <v>3</v>
      </c>
    </row>
    <row r="31" spans="1:19">
      <c r="B31" t="str">
        <f>_xlfn.IFNA(VLOOKUP(A31,'Rendszer cikkszámok'!$D$3:$E$84,2,FALSE),"")</f>
        <v/>
      </c>
      <c r="R31" s="43">
        <v>16</v>
      </c>
      <c r="S31" s="36">
        <v>4</v>
      </c>
    </row>
    <row r="32" spans="1:19">
      <c r="B32" t="str">
        <f>_xlfn.IFNA(VLOOKUP(A32,'Rendszer cikkszámok'!$D$3:$E$84,2,FALSE),"")</f>
        <v/>
      </c>
      <c r="R32" s="43">
        <v>17</v>
      </c>
      <c r="S32" s="36">
        <v>4</v>
      </c>
    </row>
    <row r="33" spans="2:19">
      <c r="B33" t="str">
        <f>_xlfn.IFNA(VLOOKUP(A33,'Rendszer cikkszámok'!$D$3:$E$84,2,FALSE),"")</f>
        <v/>
      </c>
      <c r="R33" s="43">
        <v>18</v>
      </c>
      <c r="S33" s="36">
        <v>4</v>
      </c>
    </row>
    <row r="34" spans="2:19">
      <c r="B34" t="str">
        <f>_xlfn.IFNA(VLOOKUP(A34,'Rendszer cikkszámok'!$D$3:$E$84,2,FALSE),"")</f>
        <v/>
      </c>
      <c r="R34" s="43">
        <v>19</v>
      </c>
      <c r="S34" s="36">
        <v>4</v>
      </c>
    </row>
    <row r="35" spans="2:19" ht="14.45" thickBot="1">
      <c r="R35" s="27">
        <v>20</v>
      </c>
      <c r="S35" s="52">
        <v>4</v>
      </c>
    </row>
  </sheetData>
  <sheetProtection algorithmName="SHA-512" hashValue="HyPE7gVFkvEqGoyo0uZt6QmiRsgu1+23Z1v5RDR1DxBjQlULKxLHgceFbGNEeLJ3L6iuF/R7hCCoC+GjM59qkQ==" saltValue="XWGRqvCU7LQTfX1zFqfSVA==" spinCount="100000" sheet="1" formatCells="0" formatColumns="0" formatRows="0" insertColumns="0" insertRows="0" insertHyperlinks="0" deleteColumns="0" deleteRows="0" sort="0" autoFilter="0" pivotTables="0"/>
  <mergeCells count="2">
    <mergeCell ref="J2:S2"/>
    <mergeCell ref="T2:Y2"/>
  </mergeCells>
  <dataValidations count="1">
    <dataValidation type="list" allowBlank="1" showInputMessage="1" showErrorMessage="1" sqref="B1" xr:uid="{BBE089F0-DE43-4003-9E74-863A2FC033D5}">
      <formula1>"Minitec, Siccus, Classic, Tecto, Tacker, Minitec mennyezet"</formula1>
    </dataValidation>
  </dataValidations>
  <pageMargins left="0.7" right="0.7" top="0.75" bottom="0.75" header="0.3" footer="0.3"/>
  <headerFooter>
    <oddHeader>&amp;C&amp;"Arial"&amp;8&amp;KFF0000 INTERNAL &amp;1#_x000D_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A216-948B-4EB8-85CF-835FF00B951E}">
  <dimension ref="A1:AA40"/>
  <sheetViews>
    <sheetView workbookViewId="0">
      <selection activeCell="K7" sqref="K7"/>
    </sheetView>
  </sheetViews>
  <sheetFormatPr defaultRowHeight="13.9"/>
  <cols>
    <col min="1" max="1" width="8.25" customWidth="1"/>
    <col min="2" max="2" width="8.25" style="69" customWidth="1"/>
    <col min="3" max="4" width="8.25" customWidth="1"/>
    <col min="5" max="5" width="8.25" style="72" customWidth="1"/>
    <col min="6" max="6" width="10.25" customWidth="1"/>
    <col min="7" max="10" width="8.25" customWidth="1"/>
    <col min="11" max="11" width="8.25" style="69" customWidth="1"/>
    <col min="12" max="13" width="8.25" customWidth="1"/>
    <col min="14" max="14" width="8.25" style="72" customWidth="1"/>
    <col min="15" max="27" width="8.25" customWidth="1"/>
  </cols>
  <sheetData>
    <row r="1" spans="1:25">
      <c r="A1" s="65" t="s">
        <v>53</v>
      </c>
      <c r="B1" s="66"/>
      <c r="C1" s="67"/>
      <c r="D1" s="67"/>
      <c r="E1" s="68"/>
      <c r="K1" s="66"/>
      <c r="L1" s="67"/>
      <c r="M1" s="67"/>
      <c r="N1" s="68"/>
      <c r="T1" s="65" t="s">
        <v>54</v>
      </c>
    </row>
    <row r="2" spans="1:25">
      <c r="A2" s="65">
        <v>1</v>
      </c>
      <c r="B2" s="69">
        <v>2</v>
      </c>
      <c r="C2" s="65">
        <v>3</v>
      </c>
      <c r="D2">
        <v>4</v>
      </c>
      <c r="E2" s="70">
        <v>5</v>
      </c>
      <c r="F2">
        <v>6</v>
      </c>
      <c r="G2" s="65">
        <v>7</v>
      </c>
      <c r="H2">
        <v>8</v>
      </c>
      <c r="I2" s="65">
        <v>9</v>
      </c>
      <c r="J2">
        <v>10</v>
      </c>
      <c r="K2" s="71">
        <v>11</v>
      </c>
      <c r="L2">
        <v>12</v>
      </c>
      <c r="M2" s="65">
        <v>13</v>
      </c>
      <c r="N2" s="72">
        <v>14</v>
      </c>
      <c r="O2" s="65">
        <v>15</v>
      </c>
      <c r="P2">
        <v>16</v>
      </c>
      <c r="Q2" s="65">
        <v>17</v>
      </c>
      <c r="R2">
        <v>18</v>
      </c>
      <c r="S2" s="65">
        <v>19</v>
      </c>
      <c r="T2">
        <v>20</v>
      </c>
      <c r="U2" s="65">
        <v>21</v>
      </c>
      <c r="V2">
        <v>22</v>
      </c>
      <c r="W2" s="65">
        <v>23</v>
      </c>
    </row>
    <row r="3" spans="1:25">
      <c r="B3" s="73">
        <v>2</v>
      </c>
      <c r="C3" s="74">
        <v>3</v>
      </c>
      <c r="D3" s="74">
        <v>4</v>
      </c>
      <c r="E3" s="75">
        <v>5</v>
      </c>
      <c r="F3">
        <v>6</v>
      </c>
      <c r="G3" t="s">
        <v>55</v>
      </c>
      <c r="H3" t="s">
        <v>56</v>
      </c>
      <c r="I3" t="s">
        <v>57</v>
      </c>
      <c r="J3" t="s">
        <v>58</v>
      </c>
      <c r="K3" s="69" t="s">
        <v>59</v>
      </c>
      <c r="L3" t="s">
        <v>60</v>
      </c>
      <c r="M3" t="s">
        <v>61</v>
      </c>
      <c r="N3" s="72" t="s">
        <v>62</v>
      </c>
      <c r="O3" s="30"/>
    </row>
    <row r="4" spans="1:25">
      <c r="B4" s="69">
        <v>1042471</v>
      </c>
      <c r="C4">
        <v>1030583</v>
      </c>
      <c r="D4">
        <v>1030584</v>
      </c>
      <c r="E4" s="72">
        <v>1030585</v>
      </c>
      <c r="F4">
        <v>6</v>
      </c>
      <c r="G4">
        <v>1038166</v>
      </c>
      <c r="H4">
        <v>1059132</v>
      </c>
      <c r="I4">
        <v>1009209</v>
      </c>
      <c r="J4">
        <v>1032702</v>
      </c>
      <c r="K4" s="69">
        <v>1136216</v>
      </c>
      <c r="L4">
        <v>1136217</v>
      </c>
      <c r="M4">
        <v>1136218</v>
      </c>
      <c r="N4" s="72">
        <v>1136219</v>
      </c>
    </row>
    <row r="5" spans="1:25">
      <c r="A5">
        <v>1</v>
      </c>
      <c r="B5" s="69">
        <v>1</v>
      </c>
      <c r="C5">
        <v>0</v>
      </c>
      <c r="D5">
        <v>0</v>
      </c>
      <c r="E5" s="72">
        <v>0</v>
      </c>
      <c r="F5">
        <v>6</v>
      </c>
      <c r="G5">
        <v>2</v>
      </c>
      <c r="H5">
        <v>1</v>
      </c>
      <c r="I5">
        <v>1</v>
      </c>
      <c r="J5">
        <v>1</v>
      </c>
      <c r="K5" s="69">
        <v>1</v>
      </c>
      <c r="L5">
        <v>0</v>
      </c>
      <c r="M5">
        <v>0</v>
      </c>
      <c r="N5" s="72">
        <v>0</v>
      </c>
      <c r="O5">
        <v>1042471</v>
      </c>
      <c r="P5">
        <v>1136216</v>
      </c>
      <c r="Y5">
        <v>1</v>
      </c>
    </row>
    <row r="6" spans="1:25">
      <c r="A6">
        <v>2</v>
      </c>
      <c r="B6" s="69">
        <v>2</v>
      </c>
      <c r="C6">
        <v>0</v>
      </c>
      <c r="D6">
        <v>0</v>
      </c>
      <c r="E6" s="72">
        <v>0</v>
      </c>
      <c r="F6">
        <v>6</v>
      </c>
      <c r="G6">
        <v>2</v>
      </c>
      <c r="H6">
        <v>1</v>
      </c>
      <c r="I6">
        <v>1</v>
      </c>
      <c r="J6">
        <v>1</v>
      </c>
      <c r="K6" s="69">
        <v>1</v>
      </c>
      <c r="L6">
        <v>0</v>
      </c>
      <c r="M6">
        <v>0</v>
      </c>
      <c r="N6" s="72">
        <v>0</v>
      </c>
      <c r="O6">
        <v>1042471</v>
      </c>
      <c r="P6">
        <v>1136216</v>
      </c>
      <c r="Y6">
        <v>2</v>
      </c>
    </row>
    <row r="7" spans="1:25">
      <c r="A7">
        <v>3</v>
      </c>
      <c r="B7" s="69">
        <v>0</v>
      </c>
      <c r="C7">
        <v>1</v>
      </c>
      <c r="D7">
        <v>0</v>
      </c>
      <c r="E7" s="72">
        <v>0</v>
      </c>
      <c r="F7">
        <v>6</v>
      </c>
      <c r="G7">
        <v>2</v>
      </c>
      <c r="H7">
        <v>1</v>
      </c>
      <c r="I7">
        <v>1</v>
      </c>
      <c r="J7">
        <v>1</v>
      </c>
      <c r="K7" s="69">
        <v>1</v>
      </c>
      <c r="L7">
        <v>0</v>
      </c>
      <c r="M7">
        <v>0</v>
      </c>
      <c r="N7" s="72">
        <v>0</v>
      </c>
      <c r="O7">
        <v>1030583</v>
      </c>
      <c r="P7">
        <v>1136216</v>
      </c>
      <c r="Y7">
        <v>3</v>
      </c>
    </row>
    <row r="8" spans="1:25">
      <c r="A8">
        <v>4</v>
      </c>
      <c r="B8" s="69">
        <v>0</v>
      </c>
      <c r="C8">
        <v>0</v>
      </c>
      <c r="D8">
        <v>1</v>
      </c>
      <c r="E8" s="72">
        <v>0</v>
      </c>
      <c r="F8">
        <v>6</v>
      </c>
      <c r="G8">
        <v>2</v>
      </c>
      <c r="H8">
        <v>1</v>
      </c>
      <c r="I8">
        <v>1</v>
      </c>
      <c r="J8">
        <v>1</v>
      </c>
      <c r="K8" s="69">
        <v>1</v>
      </c>
      <c r="L8">
        <v>0</v>
      </c>
      <c r="M8">
        <v>0</v>
      </c>
      <c r="N8" s="72">
        <v>0</v>
      </c>
      <c r="O8">
        <v>1030584</v>
      </c>
      <c r="P8">
        <v>1136216</v>
      </c>
      <c r="Y8">
        <v>4</v>
      </c>
    </row>
    <row r="9" spans="1:25">
      <c r="A9">
        <v>5</v>
      </c>
      <c r="B9" s="69">
        <v>1</v>
      </c>
      <c r="C9">
        <v>0</v>
      </c>
      <c r="D9">
        <v>1</v>
      </c>
      <c r="E9" s="72">
        <v>0</v>
      </c>
      <c r="F9">
        <v>6</v>
      </c>
      <c r="G9">
        <v>2</v>
      </c>
      <c r="H9">
        <v>1</v>
      </c>
      <c r="I9">
        <v>1</v>
      </c>
      <c r="J9">
        <v>1</v>
      </c>
      <c r="K9" s="69">
        <v>1</v>
      </c>
      <c r="L9">
        <v>0</v>
      </c>
      <c r="M9">
        <v>0</v>
      </c>
      <c r="N9" s="72">
        <v>0</v>
      </c>
      <c r="O9">
        <v>1042471</v>
      </c>
      <c r="P9">
        <v>1030584</v>
      </c>
      <c r="Q9">
        <v>1136216</v>
      </c>
      <c r="Y9">
        <v>5</v>
      </c>
    </row>
    <row r="10" spans="1:25">
      <c r="A10">
        <v>6</v>
      </c>
      <c r="B10" s="69">
        <v>0</v>
      </c>
      <c r="C10">
        <v>0</v>
      </c>
      <c r="D10">
        <v>0</v>
      </c>
      <c r="E10" s="72">
        <v>1</v>
      </c>
      <c r="F10">
        <v>6</v>
      </c>
      <c r="G10">
        <v>2</v>
      </c>
      <c r="H10">
        <v>1</v>
      </c>
      <c r="I10">
        <v>1</v>
      </c>
      <c r="J10">
        <v>1</v>
      </c>
      <c r="K10" s="69">
        <v>1</v>
      </c>
      <c r="L10">
        <v>0</v>
      </c>
      <c r="M10">
        <v>0</v>
      </c>
      <c r="N10" s="72">
        <v>0</v>
      </c>
      <c r="O10">
        <v>1030585</v>
      </c>
      <c r="P10">
        <v>1136216</v>
      </c>
      <c r="Y10">
        <v>6</v>
      </c>
    </row>
    <row r="11" spans="1:25">
      <c r="A11">
        <v>7</v>
      </c>
      <c r="B11" s="69">
        <v>0</v>
      </c>
      <c r="C11">
        <v>1</v>
      </c>
      <c r="D11">
        <v>1</v>
      </c>
      <c r="E11" s="72">
        <v>0</v>
      </c>
      <c r="F11">
        <v>6</v>
      </c>
      <c r="G11">
        <v>2</v>
      </c>
      <c r="H11">
        <v>1</v>
      </c>
      <c r="I11">
        <v>1</v>
      </c>
      <c r="J11">
        <v>1</v>
      </c>
      <c r="K11" s="69">
        <v>0</v>
      </c>
      <c r="L11">
        <v>1</v>
      </c>
      <c r="M11">
        <v>0</v>
      </c>
      <c r="N11" s="72">
        <v>0</v>
      </c>
      <c r="O11">
        <v>1030583</v>
      </c>
      <c r="P11">
        <v>1030584</v>
      </c>
      <c r="Q11">
        <v>1136217</v>
      </c>
      <c r="Y11">
        <v>7</v>
      </c>
    </row>
    <row r="12" spans="1:25">
      <c r="A12">
        <v>8</v>
      </c>
      <c r="B12" s="69">
        <v>0</v>
      </c>
      <c r="C12">
        <v>0</v>
      </c>
      <c r="D12">
        <v>2</v>
      </c>
      <c r="E12" s="72">
        <v>0</v>
      </c>
      <c r="F12">
        <v>6</v>
      </c>
      <c r="G12">
        <v>2</v>
      </c>
      <c r="H12">
        <v>1</v>
      </c>
      <c r="I12">
        <v>1</v>
      </c>
      <c r="J12">
        <v>1</v>
      </c>
      <c r="K12" s="69">
        <v>0</v>
      </c>
      <c r="L12">
        <v>1</v>
      </c>
      <c r="M12">
        <v>0</v>
      </c>
      <c r="N12" s="72">
        <v>0</v>
      </c>
      <c r="O12">
        <v>1030584</v>
      </c>
      <c r="P12">
        <v>1136217</v>
      </c>
      <c r="Y12">
        <v>8</v>
      </c>
    </row>
    <row r="13" spans="1:25">
      <c r="A13">
        <v>9</v>
      </c>
      <c r="B13" s="69">
        <v>0</v>
      </c>
      <c r="C13">
        <v>1</v>
      </c>
      <c r="D13">
        <v>0</v>
      </c>
      <c r="E13" s="72">
        <v>1</v>
      </c>
      <c r="F13">
        <v>6</v>
      </c>
      <c r="G13">
        <v>2</v>
      </c>
      <c r="H13">
        <v>1</v>
      </c>
      <c r="I13">
        <v>1</v>
      </c>
      <c r="J13">
        <v>1</v>
      </c>
      <c r="K13" s="69">
        <v>0</v>
      </c>
      <c r="L13">
        <v>1</v>
      </c>
      <c r="M13">
        <v>0</v>
      </c>
      <c r="N13" s="72">
        <v>0</v>
      </c>
      <c r="O13">
        <v>1030583</v>
      </c>
      <c r="P13">
        <v>1030585</v>
      </c>
      <c r="Q13">
        <v>1136217</v>
      </c>
      <c r="Y13">
        <v>9</v>
      </c>
    </row>
    <row r="14" spans="1:25">
      <c r="A14">
        <v>10</v>
      </c>
      <c r="B14" s="69">
        <v>0</v>
      </c>
      <c r="C14">
        <v>0</v>
      </c>
      <c r="D14">
        <v>1</v>
      </c>
      <c r="E14" s="72">
        <v>1</v>
      </c>
      <c r="F14">
        <v>6</v>
      </c>
      <c r="G14">
        <v>2</v>
      </c>
      <c r="H14">
        <v>1</v>
      </c>
      <c r="I14">
        <v>1</v>
      </c>
      <c r="J14">
        <v>1</v>
      </c>
      <c r="K14" s="69">
        <v>0</v>
      </c>
      <c r="L14">
        <v>0</v>
      </c>
      <c r="M14">
        <v>1</v>
      </c>
      <c r="N14" s="72">
        <v>0</v>
      </c>
      <c r="O14">
        <v>1030584</v>
      </c>
      <c r="P14">
        <v>1030585</v>
      </c>
      <c r="Q14">
        <v>1136218</v>
      </c>
      <c r="Y14">
        <v>10</v>
      </c>
    </row>
    <row r="15" spans="1:25">
      <c r="A15">
        <v>11</v>
      </c>
      <c r="B15" s="69">
        <v>1</v>
      </c>
      <c r="C15">
        <v>0</v>
      </c>
      <c r="D15">
        <v>1</v>
      </c>
      <c r="E15" s="72">
        <v>1</v>
      </c>
      <c r="F15">
        <v>6</v>
      </c>
      <c r="G15">
        <v>2</v>
      </c>
      <c r="H15">
        <v>1</v>
      </c>
      <c r="I15">
        <v>1</v>
      </c>
      <c r="J15">
        <v>1</v>
      </c>
      <c r="K15" s="69">
        <v>0</v>
      </c>
      <c r="L15">
        <v>0</v>
      </c>
      <c r="M15">
        <v>1</v>
      </c>
      <c r="N15" s="72">
        <v>0</v>
      </c>
      <c r="O15">
        <v>1042471</v>
      </c>
      <c r="P15">
        <v>1030584</v>
      </c>
      <c r="Q15">
        <v>1030585</v>
      </c>
      <c r="R15">
        <v>1136218</v>
      </c>
      <c r="Y15">
        <v>11</v>
      </c>
    </row>
    <row r="16" spans="1:25">
      <c r="A16">
        <v>12</v>
      </c>
      <c r="B16" s="69">
        <v>0</v>
      </c>
      <c r="C16">
        <v>0</v>
      </c>
      <c r="D16">
        <v>0</v>
      </c>
      <c r="E16" s="72">
        <v>2</v>
      </c>
      <c r="F16">
        <v>6</v>
      </c>
      <c r="G16">
        <v>2</v>
      </c>
      <c r="H16">
        <v>1</v>
      </c>
      <c r="I16">
        <v>1</v>
      </c>
      <c r="J16">
        <v>1</v>
      </c>
      <c r="K16" s="69">
        <v>0</v>
      </c>
      <c r="L16">
        <v>0</v>
      </c>
      <c r="M16">
        <v>1</v>
      </c>
      <c r="N16" s="72">
        <v>0</v>
      </c>
      <c r="O16">
        <v>1030585</v>
      </c>
      <c r="P16">
        <v>1136218</v>
      </c>
      <c r="Y16">
        <v>12</v>
      </c>
    </row>
    <row r="17" spans="1:27">
      <c r="A17">
        <v>13</v>
      </c>
      <c r="B17" s="69">
        <v>1</v>
      </c>
      <c r="C17">
        <v>0</v>
      </c>
      <c r="D17">
        <v>0</v>
      </c>
      <c r="E17" s="72">
        <v>2</v>
      </c>
      <c r="F17">
        <v>6</v>
      </c>
      <c r="G17">
        <v>4</v>
      </c>
      <c r="H17">
        <v>2</v>
      </c>
      <c r="I17">
        <v>2</v>
      </c>
      <c r="J17">
        <v>2</v>
      </c>
      <c r="K17" s="69">
        <v>1</v>
      </c>
      <c r="L17">
        <v>1</v>
      </c>
      <c r="M17">
        <v>0</v>
      </c>
      <c r="N17" s="72">
        <v>0</v>
      </c>
      <c r="O17">
        <v>1042471</v>
      </c>
      <c r="P17">
        <v>1030585</v>
      </c>
      <c r="Q17">
        <v>1136216</v>
      </c>
      <c r="R17">
        <v>1136217</v>
      </c>
      <c r="Y17">
        <v>6</v>
      </c>
      <c r="Z17">
        <v>7</v>
      </c>
    </row>
    <row r="18" spans="1:27">
      <c r="A18">
        <v>14</v>
      </c>
      <c r="B18" s="69">
        <v>2</v>
      </c>
      <c r="C18">
        <v>0</v>
      </c>
      <c r="D18">
        <v>0</v>
      </c>
      <c r="E18" s="72">
        <v>2</v>
      </c>
      <c r="F18">
        <v>6</v>
      </c>
      <c r="G18">
        <v>4</v>
      </c>
      <c r="H18">
        <v>2</v>
      </c>
      <c r="I18">
        <v>2</v>
      </c>
      <c r="J18">
        <v>2</v>
      </c>
      <c r="K18" s="69">
        <v>0</v>
      </c>
      <c r="L18">
        <v>2</v>
      </c>
      <c r="M18">
        <v>0</v>
      </c>
      <c r="N18" s="72">
        <v>0</v>
      </c>
      <c r="O18">
        <v>1042471</v>
      </c>
      <c r="P18">
        <v>1030585</v>
      </c>
      <c r="Q18">
        <v>1136217</v>
      </c>
      <c r="Y18">
        <v>7</v>
      </c>
      <c r="Z18">
        <v>7</v>
      </c>
    </row>
    <row r="19" spans="1:27">
      <c r="A19">
        <v>15</v>
      </c>
      <c r="B19" s="69">
        <v>1</v>
      </c>
      <c r="C19">
        <v>0</v>
      </c>
      <c r="D19">
        <v>2</v>
      </c>
      <c r="E19" s="72">
        <v>1</v>
      </c>
      <c r="F19">
        <v>6</v>
      </c>
      <c r="G19">
        <v>4</v>
      </c>
      <c r="H19">
        <v>2</v>
      </c>
      <c r="I19">
        <v>2</v>
      </c>
      <c r="J19">
        <v>2</v>
      </c>
      <c r="K19" s="69">
        <v>0</v>
      </c>
      <c r="L19">
        <v>2</v>
      </c>
      <c r="M19">
        <v>0</v>
      </c>
      <c r="N19" s="72">
        <v>0</v>
      </c>
      <c r="O19">
        <v>1043471</v>
      </c>
      <c r="P19">
        <v>1030583</v>
      </c>
      <c r="Q19">
        <v>1030585</v>
      </c>
      <c r="R19">
        <v>1136217</v>
      </c>
      <c r="Y19">
        <v>7</v>
      </c>
      <c r="Z19">
        <v>8</v>
      </c>
    </row>
    <row r="20" spans="1:27">
      <c r="A20">
        <v>16</v>
      </c>
      <c r="B20" s="69">
        <v>0</v>
      </c>
      <c r="C20">
        <v>0</v>
      </c>
      <c r="D20">
        <v>4</v>
      </c>
      <c r="E20" s="72">
        <v>0</v>
      </c>
      <c r="F20">
        <v>6</v>
      </c>
      <c r="G20">
        <v>4</v>
      </c>
      <c r="H20">
        <v>2</v>
      </c>
      <c r="I20">
        <v>2</v>
      </c>
      <c r="J20">
        <v>2</v>
      </c>
      <c r="K20" s="69">
        <v>0</v>
      </c>
      <c r="L20">
        <v>2</v>
      </c>
      <c r="M20">
        <v>0</v>
      </c>
      <c r="N20" s="72">
        <v>0</v>
      </c>
      <c r="O20">
        <v>1030584</v>
      </c>
      <c r="P20">
        <v>1136217</v>
      </c>
      <c r="Y20">
        <v>8</v>
      </c>
      <c r="Z20">
        <v>8</v>
      </c>
    </row>
    <row r="21" spans="1:27">
      <c r="A21">
        <v>17</v>
      </c>
      <c r="B21" s="69">
        <v>0</v>
      </c>
      <c r="C21">
        <v>1</v>
      </c>
      <c r="D21">
        <v>2</v>
      </c>
      <c r="E21" s="72">
        <v>1</v>
      </c>
      <c r="F21">
        <v>6</v>
      </c>
      <c r="G21">
        <v>4</v>
      </c>
      <c r="H21">
        <v>2</v>
      </c>
      <c r="I21">
        <v>2</v>
      </c>
      <c r="J21">
        <v>2</v>
      </c>
      <c r="K21" s="69">
        <v>0</v>
      </c>
      <c r="L21">
        <v>2</v>
      </c>
      <c r="M21">
        <v>0</v>
      </c>
      <c r="N21" s="72">
        <v>0</v>
      </c>
      <c r="O21">
        <v>1030583</v>
      </c>
      <c r="P21">
        <v>1030584</v>
      </c>
      <c r="Q21">
        <v>1030585</v>
      </c>
      <c r="R21">
        <v>1136217</v>
      </c>
      <c r="Y21">
        <v>8</v>
      </c>
      <c r="Z21">
        <v>9</v>
      </c>
    </row>
    <row r="22" spans="1:27">
      <c r="A22">
        <v>18</v>
      </c>
      <c r="B22" s="69">
        <v>0</v>
      </c>
      <c r="C22">
        <v>2</v>
      </c>
      <c r="D22">
        <v>0</v>
      </c>
      <c r="E22" s="72">
        <v>2</v>
      </c>
      <c r="F22">
        <v>6</v>
      </c>
      <c r="G22">
        <v>4</v>
      </c>
      <c r="H22">
        <v>2</v>
      </c>
      <c r="I22">
        <v>2</v>
      </c>
      <c r="J22">
        <v>2</v>
      </c>
      <c r="K22" s="69">
        <v>0</v>
      </c>
      <c r="L22">
        <v>2</v>
      </c>
      <c r="M22">
        <v>0</v>
      </c>
      <c r="N22" s="72">
        <v>0</v>
      </c>
      <c r="O22">
        <v>1030583</v>
      </c>
      <c r="P22">
        <v>1030585</v>
      </c>
      <c r="Q22">
        <v>1136217</v>
      </c>
      <c r="Y22">
        <v>9</v>
      </c>
      <c r="Z22">
        <v>9</v>
      </c>
    </row>
    <row r="23" spans="1:27">
      <c r="A23">
        <v>19</v>
      </c>
      <c r="B23" s="69">
        <v>0</v>
      </c>
      <c r="C23">
        <v>1</v>
      </c>
      <c r="D23">
        <v>1</v>
      </c>
      <c r="E23" s="72">
        <v>2</v>
      </c>
      <c r="F23">
        <v>6</v>
      </c>
      <c r="G23">
        <v>4</v>
      </c>
      <c r="H23">
        <v>2</v>
      </c>
      <c r="I23">
        <v>2</v>
      </c>
      <c r="J23">
        <v>2</v>
      </c>
      <c r="K23" s="69">
        <v>0</v>
      </c>
      <c r="L23">
        <v>1</v>
      </c>
      <c r="M23">
        <v>1</v>
      </c>
      <c r="N23" s="72">
        <v>0</v>
      </c>
      <c r="O23">
        <v>1030583</v>
      </c>
      <c r="P23">
        <v>1030584</v>
      </c>
      <c r="Q23">
        <v>1030585</v>
      </c>
      <c r="R23">
        <v>1136217</v>
      </c>
      <c r="S23">
        <v>1136218</v>
      </c>
      <c r="Y23">
        <v>9</v>
      </c>
      <c r="Z23">
        <v>10</v>
      </c>
    </row>
    <row r="24" spans="1:27">
      <c r="A24">
        <v>20</v>
      </c>
      <c r="B24" s="69">
        <v>0</v>
      </c>
      <c r="C24">
        <v>0</v>
      </c>
      <c r="D24">
        <v>2</v>
      </c>
      <c r="E24" s="72">
        <v>2</v>
      </c>
      <c r="F24">
        <v>6</v>
      </c>
      <c r="G24">
        <v>4</v>
      </c>
      <c r="H24">
        <v>2</v>
      </c>
      <c r="I24">
        <v>2</v>
      </c>
      <c r="J24">
        <v>2</v>
      </c>
      <c r="K24" s="69">
        <v>0</v>
      </c>
      <c r="L24">
        <v>0</v>
      </c>
      <c r="M24">
        <v>2</v>
      </c>
      <c r="N24" s="72">
        <v>0</v>
      </c>
      <c r="O24">
        <v>1030584</v>
      </c>
      <c r="P24">
        <v>1030585</v>
      </c>
      <c r="Q24">
        <v>1136218</v>
      </c>
      <c r="Y24">
        <v>10</v>
      </c>
      <c r="Z24">
        <v>10</v>
      </c>
    </row>
    <row r="25" spans="1:27">
      <c r="A25">
        <v>21</v>
      </c>
      <c r="B25" s="69">
        <v>1</v>
      </c>
      <c r="C25">
        <v>0</v>
      </c>
      <c r="D25">
        <v>2</v>
      </c>
      <c r="E25" s="72">
        <v>2</v>
      </c>
      <c r="F25">
        <v>6</v>
      </c>
      <c r="G25">
        <v>4</v>
      </c>
      <c r="H25">
        <v>2</v>
      </c>
      <c r="I25">
        <v>2</v>
      </c>
      <c r="J25">
        <v>2</v>
      </c>
      <c r="K25" s="69">
        <v>0</v>
      </c>
      <c r="L25">
        <v>0</v>
      </c>
      <c r="M25">
        <v>2</v>
      </c>
      <c r="N25" s="72">
        <v>0</v>
      </c>
      <c r="O25">
        <v>1042471</v>
      </c>
      <c r="P25">
        <v>1030584</v>
      </c>
      <c r="Q25">
        <v>1030585</v>
      </c>
      <c r="R25">
        <v>1136218</v>
      </c>
      <c r="Y25">
        <v>10</v>
      </c>
      <c r="Z25">
        <v>11</v>
      </c>
    </row>
    <row r="26" spans="1:27">
      <c r="A26">
        <v>22</v>
      </c>
      <c r="B26" s="69">
        <v>2</v>
      </c>
      <c r="C26">
        <v>0</v>
      </c>
      <c r="D26">
        <v>2</v>
      </c>
      <c r="E26" s="72">
        <v>2</v>
      </c>
      <c r="F26">
        <v>6</v>
      </c>
      <c r="G26">
        <v>4</v>
      </c>
      <c r="H26">
        <v>2</v>
      </c>
      <c r="I26">
        <v>2</v>
      </c>
      <c r="J26">
        <v>2</v>
      </c>
      <c r="K26" s="69">
        <v>0</v>
      </c>
      <c r="L26">
        <v>0</v>
      </c>
      <c r="M26">
        <v>2</v>
      </c>
      <c r="N26" s="72">
        <v>0</v>
      </c>
      <c r="O26">
        <v>1042471</v>
      </c>
      <c r="P26">
        <v>1030584</v>
      </c>
      <c r="Q26">
        <v>1030585</v>
      </c>
      <c r="R26">
        <v>1136218</v>
      </c>
      <c r="Y26">
        <v>11</v>
      </c>
      <c r="Z26">
        <v>11</v>
      </c>
    </row>
    <row r="27" spans="1:27">
      <c r="A27">
        <v>23</v>
      </c>
      <c r="B27" s="69">
        <v>1</v>
      </c>
      <c r="C27">
        <v>0</v>
      </c>
      <c r="D27">
        <v>1</v>
      </c>
      <c r="E27" s="72">
        <v>3</v>
      </c>
      <c r="F27">
        <v>6</v>
      </c>
      <c r="G27">
        <v>4</v>
      </c>
      <c r="H27">
        <v>2</v>
      </c>
      <c r="I27">
        <v>2</v>
      </c>
      <c r="J27">
        <v>2</v>
      </c>
      <c r="K27" s="69">
        <v>0</v>
      </c>
      <c r="L27">
        <v>0</v>
      </c>
      <c r="M27">
        <v>2</v>
      </c>
      <c r="N27" s="72">
        <v>0</v>
      </c>
      <c r="O27">
        <v>1042471</v>
      </c>
      <c r="P27">
        <v>1030584</v>
      </c>
      <c r="Q27">
        <v>1030585</v>
      </c>
      <c r="R27">
        <v>1136218</v>
      </c>
      <c r="Y27">
        <v>11</v>
      </c>
      <c r="Z27">
        <v>12</v>
      </c>
    </row>
    <row r="28" spans="1:27">
      <c r="A28">
        <v>24</v>
      </c>
      <c r="B28" s="69">
        <v>0</v>
      </c>
      <c r="C28">
        <v>0</v>
      </c>
      <c r="D28">
        <v>0</v>
      </c>
      <c r="E28" s="72">
        <v>4</v>
      </c>
      <c r="F28">
        <v>6</v>
      </c>
      <c r="G28">
        <v>4</v>
      </c>
      <c r="H28">
        <v>2</v>
      </c>
      <c r="I28">
        <v>2</v>
      </c>
      <c r="J28">
        <v>2</v>
      </c>
      <c r="K28" s="69">
        <v>0</v>
      </c>
      <c r="L28">
        <v>0</v>
      </c>
      <c r="M28">
        <v>2</v>
      </c>
      <c r="N28" s="72">
        <v>0</v>
      </c>
      <c r="O28">
        <v>1030585</v>
      </c>
      <c r="P28">
        <v>1136218</v>
      </c>
      <c r="Y28">
        <v>12</v>
      </c>
      <c r="Z28">
        <v>12</v>
      </c>
    </row>
    <row r="29" spans="1:27">
      <c r="A29">
        <v>25</v>
      </c>
      <c r="B29" s="69">
        <v>0</v>
      </c>
      <c r="C29">
        <v>1</v>
      </c>
      <c r="D29">
        <v>4</v>
      </c>
      <c r="E29" s="72">
        <v>1</v>
      </c>
      <c r="F29">
        <v>6</v>
      </c>
      <c r="G29">
        <v>6</v>
      </c>
      <c r="H29">
        <v>3</v>
      </c>
      <c r="I29">
        <v>3</v>
      </c>
      <c r="J29">
        <v>3</v>
      </c>
      <c r="K29" s="69">
        <v>0</v>
      </c>
      <c r="L29">
        <v>3</v>
      </c>
      <c r="M29">
        <v>0</v>
      </c>
      <c r="N29" s="72">
        <v>0</v>
      </c>
      <c r="O29">
        <v>1030583</v>
      </c>
      <c r="P29">
        <v>1030584</v>
      </c>
      <c r="Q29">
        <v>1030585</v>
      </c>
      <c r="R29">
        <v>1136217</v>
      </c>
      <c r="Y29">
        <v>8</v>
      </c>
      <c r="Z29">
        <v>8</v>
      </c>
      <c r="AA29">
        <v>9</v>
      </c>
    </row>
    <row r="30" spans="1:27">
      <c r="A30">
        <v>26</v>
      </c>
      <c r="B30" s="69">
        <v>2</v>
      </c>
      <c r="C30">
        <v>2</v>
      </c>
      <c r="D30">
        <v>2</v>
      </c>
      <c r="E30" s="72">
        <v>2</v>
      </c>
      <c r="F30">
        <v>6</v>
      </c>
      <c r="G30">
        <v>6</v>
      </c>
      <c r="H30">
        <v>3</v>
      </c>
      <c r="I30">
        <v>3</v>
      </c>
      <c r="J30">
        <v>3</v>
      </c>
      <c r="K30" s="69">
        <v>0</v>
      </c>
      <c r="L30">
        <v>3</v>
      </c>
      <c r="M30">
        <v>0</v>
      </c>
      <c r="N30" s="72">
        <v>0</v>
      </c>
      <c r="O30">
        <v>1042471</v>
      </c>
      <c r="P30">
        <v>1030583</v>
      </c>
      <c r="Q30">
        <v>1030584</v>
      </c>
      <c r="R30">
        <v>1030585</v>
      </c>
      <c r="S30">
        <v>1136217</v>
      </c>
      <c r="Y30">
        <v>8</v>
      </c>
      <c r="Z30">
        <v>9</v>
      </c>
      <c r="AA30">
        <v>9</v>
      </c>
    </row>
    <row r="31" spans="1:27">
      <c r="A31">
        <v>27</v>
      </c>
      <c r="B31" s="69">
        <v>0</v>
      </c>
      <c r="C31">
        <v>3</v>
      </c>
      <c r="D31">
        <v>0</v>
      </c>
      <c r="E31" s="72">
        <v>3</v>
      </c>
      <c r="F31">
        <v>6</v>
      </c>
      <c r="G31">
        <v>6</v>
      </c>
      <c r="H31">
        <v>3</v>
      </c>
      <c r="I31">
        <v>3</v>
      </c>
      <c r="J31">
        <v>3</v>
      </c>
      <c r="K31" s="69">
        <v>0</v>
      </c>
      <c r="L31">
        <v>3</v>
      </c>
      <c r="M31">
        <v>0</v>
      </c>
      <c r="N31" s="72">
        <v>0</v>
      </c>
      <c r="O31">
        <v>1030583</v>
      </c>
      <c r="P31">
        <v>1030585</v>
      </c>
      <c r="Q31">
        <v>1136217</v>
      </c>
      <c r="Y31">
        <v>9</v>
      </c>
      <c r="Z31">
        <v>9</v>
      </c>
      <c r="AA31">
        <v>9</v>
      </c>
    </row>
    <row r="32" spans="1:27">
      <c r="A32">
        <v>28</v>
      </c>
      <c r="B32" s="69">
        <v>0</v>
      </c>
      <c r="C32">
        <v>2</v>
      </c>
      <c r="D32">
        <v>1</v>
      </c>
      <c r="E32" s="72">
        <v>3</v>
      </c>
      <c r="F32">
        <v>6</v>
      </c>
      <c r="G32">
        <v>6</v>
      </c>
      <c r="H32">
        <v>3</v>
      </c>
      <c r="I32">
        <v>3</v>
      </c>
      <c r="J32">
        <v>3</v>
      </c>
      <c r="K32" s="69">
        <v>0</v>
      </c>
      <c r="L32">
        <v>2</v>
      </c>
      <c r="M32">
        <v>1</v>
      </c>
      <c r="N32" s="72">
        <v>0</v>
      </c>
      <c r="O32">
        <v>1030583</v>
      </c>
      <c r="P32">
        <v>1030584</v>
      </c>
      <c r="Q32">
        <v>1030585</v>
      </c>
      <c r="R32">
        <v>1136217</v>
      </c>
      <c r="S32">
        <v>1136218</v>
      </c>
      <c r="Y32">
        <v>9</v>
      </c>
      <c r="Z32">
        <v>9</v>
      </c>
      <c r="AA32">
        <v>10</v>
      </c>
    </row>
    <row r="33" spans="1:27">
      <c r="A33">
        <v>29</v>
      </c>
      <c r="B33" s="69">
        <v>1</v>
      </c>
      <c r="C33">
        <v>1</v>
      </c>
      <c r="D33">
        <v>2</v>
      </c>
      <c r="E33" s="72">
        <v>3</v>
      </c>
      <c r="F33">
        <v>6</v>
      </c>
      <c r="G33">
        <v>6</v>
      </c>
      <c r="H33">
        <v>3</v>
      </c>
      <c r="I33">
        <v>3</v>
      </c>
      <c r="J33">
        <v>3</v>
      </c>
      <c r="K33" s="69">
        <v>0</v>
      </c>
      <c r="L33">
        <v>1</v>
      </c>
      <c r="M33">
        <v>2</v>
      </c>
      <c r="N33" s="72">
        <v>0</v>
      </c>
      <c r="O33">
        <v>1042471</v>
      </c>
      <c r="P33">
        <v>1030583</v>
      </c>
      <c r="Q33">
        <v>1030584</v>
      </c>
      <c r="R33">
        <v>1030585</v>
      </c>
      <c r="S33">
        <v>1136217</v>
      </c>
      <c r="T33">
        <v>1136218</v>
      </c>
      <c r="Y33">
        <v>9</v>
      </c>
      <c r="Z33">
        <v>10</v>
      </c>
      <c r="AA33">
        <v>10</v>
      </c>
    </row>
    <row r="34" spans="1:27">
      <c r="A34">
        <v>30</v>
      </c>
      <c r="B34" s="69">
        <v>0</v>
      </c>
      <c r="C34">
        <v>0</v>
      </c>
      <c r="D34">
        <v>3</v>
      </c>
      <c r="E34" s="72">
        <v>3</v>
      </c>
      <c r="F34">
        <v>6</v>
      </c>
      <c r="G34">
        <v>6</v>
      </c>
      <c r="H34">
        <v>3</v>
      </c>
      <c r="I34">
        <v>3</v>
      </c>
      <c r="J34">
        <v>3</v>
      </c>
      <c r="K34" s="69">
        <v>0</v>
      </c>
      <c r="L34">
        <v>0</v>
      </c>
      <c r="M34">
        <v>3</v>
      </c>
      <c r="N34" s="72">
        <v>0</v>
      </c>
      <c r="O34">
        <v>1030584</v>
      </c>
      <c r="P34">
        <v>1030585</v>
      </c>
      <c r="Q34">
        <v>1136218</v>
      </c>
      <c r="R34">
        <v>1136218</v>
      </c>
      <c r="Y34">
        <v>10</v>
      </c>
      <c r="Z34">
        <v>10</v>
      </c>
      <c r="AA34">
        <v>10</v>
      </c>
    </row>
    <row r="35" spans="1:27">
      <c r="A35">
        <v>31</v>
      </c>
      <c r="B35" s="69">
        <v>1</v>
      </c>
      <c r="C35">
        <v>0</v>
      </c>
      <c r="D35">
        <v>3</v>
      </c>
      <c r="E35" s="72">
        <v>3</v>
      </c>
      <c r="F35">
        <v>6</v>
      </c>
      <c r="G35">
        <v>6</v>
      </c>
      <c r="H35">
        <v>3</v>
      </c>
      <c r="I35">
        <v>3</v>
      </c>
      <c r="J35">
        <v>3</v>
      </c>
      <c r="K35" s="69">
        <v>0</v>
      </c>
      <c r="L35">
        <v>0</v>
      </c>
      <c r="M35">
        <v>3</v>
      </c>
      <c r="N35" s="72">
        <v>0</v>
      </c>
      <c r="O35">
        <v>1042471</v>
      </c>
      <c r="P35">
        <v>1030584</v>
      </c>
      <c r="Q35">
        <v>1030585</v>
      </c>
      <c r="R35">
        <v>1136218</v>
      </c>
      <c r="Y35">
        <v>10</v>
      </c>
      <c r="Z35">
        <v>10</v>
      </c>
      <c r="AA35">
        <v>11</v>
      </c>
    </row>
    <row r="36" spans="1:27">
      <c r="A36">
        <v>32</v>
      </c>
      <c r="B36" s="69">
        <v>2</v>
      </c>
      <c r="C36">
        <v>0</v>
      </c>
      <c r="D36">
        <v>3</v>
      </c>
      <c r="E36" s="72">
        <v>3</v>
      </c>
      <c r="F36">
        <v>6</v>
      </c>
      <c r="G36">
        <v>6</v>
      </c>
      <c r="H36">
        <v>3</v>
      </c>
      <c r="I36">
        <v>3</v>
      </c>
      <c r="J36">
        <v>3</v>
      </c>
      <c r="K36" s="69">
        <v>0</v>
      </c>
      <c r="L36">
        <v>0</v>
      </c>
      <c r="M36">
        <v>3</v>
      </c>
      <c r="N36" s="72">
        <v>0</v>
      </c>
      <c r="O36">
        <v>1042471</v>
      </c>
      <c r="P36">
        <v>1030584</v>
      </c>
      <c r="Q36">
        <v>1030585</v>
      </c>
      <c r="R36">
        <v>1136218</v>
      </c>
      <c r="Y36">
        <v>10</v>
      </c>
      <c r="Z36">
        <v>11</v>
      </c>
      <c r="AA36">
        <v>11</v>
      </c>
    </row>
    <row r="37" spans="1:27">
      <c r="A37">
        <v>33</v>
      </c>
      <c r="B37" s="69">
        <v>3</v>
      </c>
      <c r="C37">
        <v>0</v>
      </c>
      <c r="D37">
        <v>3</v>
      </c>
      <c r="E37" s="72">
        <v>3</v>
      </c>
      <c r="F37">
        <v>6</v>
      </c>
      <c r="G37">
        <v>6</v>
      </c>
      <c r="H37">
        <v>3</v>
      </c>
      <c r="I37">
        <v>3</v>
      </c>
      <c r="J37">
        <v>3</v>
      </c>
      <c r="K37" s="69">
        <v>0</v>
      </c>
      <c r="L37">
        <v>0</v>
      </c>
      <c r="M37">
        <v>3</v>
      </c>
      <c r="N37" s="72">
        <v>0</v>
      </c>
      <c r="O37">
        <v>1042471</v>
      </c>
      <c r="P37">
        <v>1030584</v>
      </c>
      <c r="Q37">
        <v>1030585</v>
      </c>
      <c r="R37">
        <v>1136218</v>
      </c>
      <c r="Y37">
        <v>11</v>
      </c>
      <c r="Z37">
        <v>11</v>
      </c>
      <c r="AA37">
        <v>11</v>
      </c>
    </row>
    <row r="38" spans="1:27">
      <c r="A38">
        <v>34</v>
      </c>
      <c r="B38" s="69">
        <v>2</v>
      </c>
      <c r="C38">
        <v>0</v>
      </c>
      <c r="D38">
        <v>2</v>
      </c>
      <c r="E38" s="72">
        <v>4</v>
      </c>
      <c r="F38">
        <v>6</v>
      </c>
      <c r="G38">
        <v>6</v>
      </c>
      <c r="H38">
        <v>3</v>
      </c>
      <c r="I38">
        <v>3</v>
      </c>
      <c r="J38">
        <v>3</v>
      </c>
      <c r="K38" s="69">
        <v>0</v>
      </c>
      <c r="L38">
        <v>0</v>
      </c>
      <c r="M38">
        <v>3</v>
      </c>
      <c r="N38" s="72">
        <v>0</v>
      </c>
      <c r="O38">
        <v>1042471</v>
      </c>
      <c r="P38">
        <v>1030584</v>
      </c>
      <c r="Q38">
        <v>1030585</v>
      </c>
      <c r="R38">
        <v>1136218</v>
      </c>
      <c r="Y38">
        <v>11</v>
      </c>
      <c r="Z38">
        <v>11</v>
      </c>
      <c r="AA38">
        <v>12</v>
      </c>
    </row>
    <row r="39" spans="1:27">
      <c r="A39">
        <v>35</v>
      </c>
      <c r="B39" s="69">
        <v>1</v>
      </c>
      <c r="C39">
        <v>0</v>
      </c>
      <c r="D39">
        <v>1</v>
      </c>
      <c r="E39" s="72">
        <v>5</v>
      </c>
      <c r="F39">
        <v>6</v>
      </c>
      <c r="G39">
        <v>6</v>
      </c>
      <c r="H39">
        <v>3</v>
      </c>
      <c r="I39">
        <v>3</v>
      </c>
      <c r="J39">
        <v>3</v>
      </c>
      <c r="K39" s="69">
        <v>0</v>
      </c>
      <c r="L39">
        <v>0</v>
      </c>
      <c r="M39">
        <v>3</v>
      </c>
      <c r="N39" s="72">
        <v>0</v>
      </c>
      <c r="O39">
        <v>1042471</v>
      </c>
      <c r="P39">
        <v>1030584</v>
      </c>
      <c r="Q39">
        <v>1030585</v>
      </c>
      <c r="R39">
        <v>1136218</v>
      </c>
      <c r="Y39">
        <v>11</v>
      </c>
      <c r="Z39">
        <v>12</v>
      </c>
      <c r="AA39">
        <v>12</v>
      </c>
    </row>
    <row r="40" spans="1:27">
      <c r="A40">
        <v>36</v>
      </c>
      <c r="B40" s="69">
        <v>0</v>
      </c>
      <c r="C40">
        <v>0</v>
      </c>
      <c r="D40">
        <v>0</v>
      </c>
      <c r="E40" s="72">
        <v>6</v>
      </c>
      <c r="F40">
        <v>6</v>
      </c>
      <c r="G40">
        <v>6</v>
      </c>
      <c r="H40">
        <v>3</v>
      </c>
      <c r="I40">
        <v>3</v>
      </c>
      <c r="J40">
        <v>3</v>
      </c>
      <c r="K40" s="69">
        <v>0</v>
      </c>
      <c r="L40">
        <v>0</v>
      </c>
      <c r="M40">
        <v>3</v>
      </c>
      <c r="N40" s="72">
        <v>0</v>
      </c>
      <c r="O40">
        <v>1030585</v>
      </c>
      <c r="P40">
        <v>1136218</v>
      </c>
      <c r="Y40">
        <v>12</v>
      </c>
      <c r="Z40">
        <v>12</v>
      </c>
      <c r="AA40">
        <v>12</v>
      </c>
    </row>
  </sheetData>
  <sheetProtection algorithmName="SHA-512" hashValue="xZN/nv4SfDHr7xB1j6cEx7z9h2+SZuxk6x8SnS7aVqfwcAOmY4XCoc65dIZoeyJzTrOLdrCVKsLmdeSpcAa55Q==" saltValue="qRN+PdhEtSDEkVswp3zxrg==" spinCount="100000" sheet="1" formatCells="0" formatColumns="0" formatRows="0" insertColumns="0" insertRows="0" insertHyperlinks="0" deleteColumns="0" deleteRows="0" sort="0" autoFilter="0" pivotTables="0"/>
  <conditionalFormatting sqref="B5">
    <cfRule type="cellIs" dxfId="14" priority="3" stopIfTrue="1" operator="greaterThan">
      <formula>0</formula>
    </cfRule>
  </conditionalFormatting>
  <conditionalFormatting sqref="B6:E34 G6:N34 O12:S19 O20:P20 R20:S20 O21:T34 C35:D37 G35:J40 L35:M40">
    <cfRule type="cellIs" dxfId="13" priority="14" stopIfTrue="1" operator="greaterThan">
      <formula>0</formula>
    </cfRule>
  </conditionalFormatting>
  <conditionalFormatting sqref="G5:K5">
    <cfRule type="cellIs" dxfId="12" priority="4" stopIfTrue="1" operator="greaterThan">
      <formula>0</formula>
    </cfRule>
  </conditionalFormatting>
  <conditionalFormatting sqref="O35:P40">
    <cfRule type="cellIs" dxfId="11" priority="1" stopIfTrue="1" operator="greaterThan">
      <formula>0</formula>
    </cfRule>
  </conditionalFormatting>
  <conditionalFormatting sqref="O4:T11">
    <cfRule type="cellIs" dxfId="10" priority="5" stopIfTrue="1" operator="greaterThan">
      <formula>0</formula>
    </cfRule>
  </conditionalFormatting>
  <conditionalFormatting sqref="P9">
    <cfRule type="cellIs" dxfId="9" priority="11" stopIfTrue="1" operator="greaterThan">
      <formula>0</formula>
    </cfRule>
  </conditionalFormatting>
  <conditionalFormatting sqref="P11">
    <cfRule type="cellIs" dxfId="8" priority="12" stopIfTrue="1" operator="greaterThan">
      <formula>0</formula>
    </cfRule>
  </conditionalFormatting>
  <conditionalFormatting sqref="P13:P15">
    <cfRule type="cellIs" dxfId="7" priority="10" stopIfTrue="1" operator="greaterThan">
      <formula>0</formula>
    </cfRule>
  </conditionalFormatting>
  <conditionalFormatting sqref="P17:P18">
    <cfRule type="cellIs" dxfId="6" priority="8" stopIfTrue="1" operator="greaterThan">
      <formula>0</formula>
    </cfRule>
  </conditionalFormatting>
  <conditionalFormatting sqref="P24:P25">
    <cfRule type="cellIs" dxfId="5" priority="7" stopIfTrue="1" operator="greaterThan">
      <formula>0</formula>
    </cfRule>
  </conditionalFormatting>
  <conditionalFormatting sqref="Q15">
    <cfRule type="cellIs" dxfId="4" priority="9" stopIfTrue="1" operator="greaterThan">
      <formula>0</formula>
    </cfRule>
  </conditionalFormatting>
  <conditionalFormatting sqref="Q19 Q21 Q23 P27:Q27 Q33:R33">
    <cfRule type="cellIs" dxfId="3" priority="13" stopIfTrue="1" operator="greaterThan">
      <formula>0</formula>
    </cfRule>
  </conditionalFormatting>
  <conditionalFormatting sqref="Q25:Q26">
    <cfRule type="cellIs" dxfId="2" priority="6" stopIfTrue="1" operator="greaterThan">
      <formula>0</formula>
    </cfRule>
  </conditionalFormatting>
  <conditionalFormatting sqref="Q35:R39">
    <cfRule type="cellIs" dxfId="1" priority="2" stopIfTrue="1" operator="greaterThan">
      <formula>0</formula>
    </cfRule>
  </conditionalFormatting>
  <pageMargins left="0.7" right="0.7" top="0.75" bottom="0.75" header="0.3" footer="0.3"/>
  <headerFooter>
    <oddHeader>&amp;C&amp;"Arial"&amp;8&amp;KFF0000 INTERNAL 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E3A9-30E8-4E45-8D04-C33781D88E95}">
  <dimension ref="A1:Y110"/>
  <sheetViews>
    <sheetView workbookViewId="0">
      <selection activeCell="D18" sqref="D18"/>
    </sheetView>
  </sheetViews>
  <sheetFormatPr defaultRowHeight="13.9"/>
  <cols>
    <col min="1" max="1" width="8.25" customWidth="1"/>
    <col min="2" max="2" width="51.75" customWidth="1"/>
    <col min="3" max="4" width="8.25" customWidth="1"/>
    <col min="5" max="5" width="51.75" customWidth="1"/>
    <col min="6" max="6" width="9.25" customWidth="1"/>
    <col min="7" max="9" width="7.25" customWidth="1"/>
    <col min="10" max="19" width="8.375" customWidth="1"/>
    <col min="20" max="20" width="19.25" bestFit="1" customWidth="1"/>
    <col min="21" max="21" width="19.625" bestFit="1" customWidth="1"/>
    <col min="22" max="22" width="11.25" customWidth="1"/>
    <col min="23" max="23" width="18.25" bestFit="1" customWidth="1"/>
    <col min="24" max="24" width="18.5" bestFit="1" customWidth="1"/>
    <col min="25" max="26" width="8.25" customWidth="1"/>
  </cols>
  <sheetData>
    <row r="1" spans="1:25">
      <c r="A1" s="65" t="s">
        <v>63</v>
      </c>
      <c r="D1" s="65" t="s">
        <v>64</v>
      </c>
      <c r="J1" s="65" t="s">
        <v>65</v>
      </c>
    </row>
    <row r="3" spans="1:25">
      <c r="A3" t="s">
        <v>9</v>
      </c>
      <c r="D3">
        <v>1063289</v>
      </c>
      <c r="E3" s="30" t="s">
        <v>66</v>
      </c>
      <c r="F3">
        <f>Processzor!$B$2/0.1</f>
        <v>0</v>
      </c>
      <c r="G3" s="30" t="s">
        <v>67</v>
      </c>
      <c r="H3">
        <v>240</v>
      </c>
      <c r="J3" t="s">
        <v>9</v>
      </c>
      <c r="K3" t="s">
        <v>68</v>
      </c>
      <c r="L3" t="s">
        <v>30</v>
      </c>
      <c r="M3" t="s">
        <v>20</v>
      </c>
      <c r="N3" t="s">
        <v>31</v>
      </c>
      <c r="O3" t="s">
        <v>36</v>
      </c>
      <c r="P3" t="s">
        <v>32</v>
      </c>
      <c r="Q3" s="30" t="s">
        <v>33</v>
      </c>
      <c r="R3" s="30" t="s">
        <v>18</v>
      </c>
      <c r="S3" s="30" t="s">
        <v>34</v>
      </c>
      <c r="T3" s="30" t="s">
        <v>25</v>
      </c>
      <c r="U3" s="30" t="s">
        <v>26</v>
      </c>
      <c r="V3" s="30" t="s">
        <v>69</v>
      </c>
      <c r="W3" s="30" t="s">
        <v>29</v>
      </c>
      <c r="X3" s="30" t="s">
        <v>28</v>
      </c>
      <c r="Y3" s="30" t="s">
        <v>35</v>
      </c>
    </row>
    <row r="4" spans="1:25">
      <c r="A4">
        <v>1005261</v>
      </c>
      <c r="B4" s="30" t="str">
        <f>VLOOKUP(A4,$D$3:$E$35,2,FALSE)</f>
        <v>Uponor Minitec rendszerlemez 1100x700x12mm</v>
      </c>
      <c r="D4">
        <v>1062884</v>
      </c>
      <c r="E4" s="30" t="s">
        <v>70</v>
      </c>
      <c r="F4" s="64">
        <f>Processzor!$B$2/0.15</f>
        <v>0</v>
      </c>
      <c r="G4" s="30" t="s">
        <v>67</v>
      </c>
      <c r="H4">
        <v>240</v>
      </c>
      <c r="J4">
        <f>A4</f>
        <v>1005261</v>
      </c>
      <c r="K4">
        <f t="shared" ref="K4:K9" si="0">A11</f>
        <v>1005485</v>
      </c>
      <c r="L4">
        <f>A19</f>
        <v>1062045</v>
      </c>
      <c r="M4">
        <f t="shared" ref="M4:M11" si="1">A26</f>
        <v>1061171</v>
      </c>
      <c r="N4">
        <f t="shared" ref="N4:N9" si="2">A36</f>
        <v>1090924</v>
      </c>
      <c r="O4">
        <f t="shared" ref="O4:O10" si="3">A44</f>
        <v>1005274</v>
      </c>
      <c r="P4">
        <f>A53</f>
        <v>1062045</v>
      </c>
      <c r="Q4">
        <f>A60</f>
        <v>1009230</v>
      </c>
      <c r="R4">
        <f>A66</f>
        <v>1090937</v>
      </c>
      <c r="S4">
        <v>1087302</v>
      </c>
      <c r="T4">
        <v>1161845</v>
      </c>
      <c r="U4">
        <v>1161845</v>
      </c>
      <c r="V4">
        <v>1143475</v>
      </c>
      <c r="W4">
        <v>1143475</v>
      </c>
      <c r="X4">
        <v>1143475</v>
      </c>
      <c r="Y4">
        <v>1005405</v>
      </c>
    </row>
    <row r="5" spans="1:25">
      <c r="A5">
        <v>1063289</v>
      </c>
      <c r="B5" s="30" t="str">
        <f>VLOOKUP(A5,$D$3:$E$35,2,FALSE)</f>
        <v>Uponor Minitec Comfort cső 9.9x1.1 240m</v>
      </c>
      <c r="D5">
        <v>1062045</v>
      </c>
      <c r="E5" s="30" t="s">
        <v>71</v>
      </c>
      <c r="F5" s="64">
        <f>Processzor!AE11</f>
        <v>0</v>
      </c>
      <c r="G5" s="30" t="s">
        <v>67</v>
      </c>
      <c r="H5">
        <v>240</v>
      </c>
      <c r="J5">
        <f>A5</f>
        <v>1063289</v>
      </c>
      <c r="K5">
        <f t="shared" si="0"/>
        <v>1005486</v>
      </c>
      <c r="L5">
        <f>A20</f>
        <v>1005049</v>
      </c>
      <c r="M5">
        <f t="shared" si="1"/>
        <v>1061172</v>
      </c>
      <c r="N5">
        <f t="shared" si="2"/>
        <v>1140159</v>
      </c>
      <c r="O5">
        <f t="shared" si="3"/>
        <v>1063289</v>
      </c>
      <c r="P5">
        <f t="shared" ref="P5:P8" si="4">A54</f>
        <v>1005477</v>
      </c>
      <c r="Q5">
        <f t="shared" ref="Q5:Q7" si="5">A61</f>
        <v>1065290</v>
      </c>
      <c r="R5">
        <f t="shared" ref="R5:R8" si="6">A67</f>
        <v>1039950</v>
      </c>
      <c r="S5">
        <v>1063322</v>
      </c>
      <c r="T5">
        <v>1005049</v>
      </c>
      <c r="U5">
        <v>1005049</v>
      </c>
      <c r="V5">
        <v>1143476</v>
      </c>
      <c r="W5">
        <v>1062045</v>
      </c>
      <c r="X5">
        <v>1143476</v>
      </c>
      <c r="Y5">
        <v>1062884</v>
      </c>
    </row>
    <row r="6" spans="1:25">
      <c r="A6">
        <v>1005267</v>
      </c>
      <c r="B6" s="30" t="str">
        <f>VLOOKUP(A6,$D$3:$E$35,2,FALSE)</f>
        <v xml:space="preserve">Uponor Minitec szegélyszigetelés 80x8 mm 20m </v>
      </c>
      <c r="D6">
        <v>1009230</v>
      </c>
      <c r="E6" s="30" t="s">
        <v>72</v>
      </c>
      <c r="F6" s="64">
        <f>Processzor!$B$2/0.15</f>
        <v>0</v>
      </c>
      <c r="G6" s="30" t="s">
        <v>67</v>
      </c>
      <c r="H6">
        <v>240</v>
      </c>
      <c r="J6">
        <f>A6</f>
        <v>1005267</v>
      </c>
      <c r="K6">
        <f>A13</f>
        <v>1005049</v>
      </c>
      <c r="L6">
        <f>A21</f>
        <v>1000080</v>
      </c>
      <c r="M6">
        <f>A28</f>
        <v>1005264</v>
      </c>
      <c r="N6">
        <f>A38</f>
        <v>1062045</v>
      </c>
      <c r="O6">
        <f>A46</f>
        <v>1020543</v>
      </c>
      <c r="P6">
        <f t="shared" si="4"/>
        <v>1000080</v>
      </c>
      <c r="Q6">
        <f t="shared" si="5"/>
        <v>1012864</v>
      </c>
      <c r="R6">
        <f t="shared" si="6"/>
        <v>1039937</v>
      </c>
      <c r="S6">
        <v>1000080</v>
      </c>
      <c r="T6">
        <v>1005267</v>
      </c>
      <c r="U6">
        <v>1005267</v>
      </c>
      <c r="V6">
        <v>1084207</v>
      </c>
      <c r="W6">
        <v>1065284</v>
      </c>
      <c r="X6">
        <v>1062045</v>
      </c>
      <c r="Y6">
        <v>1012860</v>
      </c>
    </row>
    <row r="7" spans="1:25">
      <c r="A7">
        <v>1013426</v>
      </c>
      <c r="B7" s="30" t="str">
        <f>VLOOKUP(A7,$D$3:$E$35,2,FALSE)</f>
        <v>Uponor Minitec szorítógyűrűs csavarzat 9,9×1,1-3/4"</v>
      </c>
      <c r="D7">
        <v>1020543</v>
      </c>
      <c r="E7" s="30" t="s">
        <v>73</v>
      </c>
      <c r="F7">
        <f>IF(Processzor!$B$1="Renovis",Processzor!$U$11*30,IF(OR(Processzor!$B$1="FIX", Processzor!$B$1="Contec ON"), Processzor!$W$11*30, 0))</f>
        <v>0</v>
      </c>
      <c r="G7" s="30" t="s">
        <v>67</v>
      </c>
      <c r="H7">
        <v>60</v>
      </c>
      <c r="J7">
        <f>A7</f>
        <v>1013426</v>
      </c>
      <c r="K7">
        <f t="shared" si="0"/>
        <v>1062884</v>
      </c>
      <c r="L7">
        <f>A22</f>
        <v>1065284</v>
      </c>
      <c r="M7">
        <f t="shared" si="1"/>
        <v>1020518</v>
      </c>
      <c r="N7">
        <f t="shared" si="2"/>
        <v>1000080</v>
      </c>
      <c r="O7">
        <f t="shared" si="3"/>
        <v>1020518</v>
      </c>
      <c r="P7">
        <f t="shared" si="4"/>
        <v>1065284</v>
      </c>
      <c r="Q7">
        <f t="shared" si="5"/>
        <v>1005376</v>
      </c>
      <c r="R7">
        <f t="shared" si="6"/>
        <v>1039933</v>
      </c>
      <c r="S7">
        <v>1065284</v>
      </c>
      <c r="T7">
        <v>1139794</v>
      </c>
      <c r="U7">
        <v>1063289</v>
      </c>
      <c r="V7">
        <v>1062045</v>
      </c>
      <c r="W7">
        <v>1135491</v>
      </c>
      <c r="X7">
        <v>1065284</v>
      </c>
      <c r="Y7">
        <v>1005376</v>
      </c>
    </row>
    <row r="8" spans="1:25" ht="15.6">
      <c r="A8">
        <v>1135490</v>
      </c>
      <c r="B8" s="30" t="str">
        <f>VLOOKUP(A8,$D$3:$E$35,2,FALSE)</f>
        <v>Uponor Multi műanyag csőrögzítő ív 9,9-12</v>
      </c>
      <c r="D8">
        <v>1005261</v>
      </c>
      <c r="E8" s="30" t="s">
        <v>74</v>
      </c>
      <c r="F8" s="64">
        <f>Processzor!$B$2</f>
        <v>0</v>
      </c>
      <c r="G8" s="30" t="s">
        <v>75</v>
      </c>
      <c r="H8">
        <v>15.4</v>
      </c>
      <c r="J8">
        <f>A8</f>
        <v>1135490</v>
      </c>
      <c r="K8">
        <f t="shared" si="0"/>
        <v>1065283</v>
      </c>
      <c r="L8">
        <f>A23</f>
        <v>1135491</v>
      </c>
      <c r="M8">
        <f t="shared" si="1"/>
        <v>1020524</v>
      </c>
      <c r="N8">
        <f t="shared" si="2"/>
        <v>1065284</v>
      </c>
      <c r="O8">
        <f t="shared" si="3"/>
        <v>1020524</v>
      </c>
      <c r="P8">
        <f t="shared" si="4"/>
        <v>1135491</v>
      </c>
      <c r="R8">
        <f t="shared" si="6"/>
        <v>1063557</v>
      </c>
      <c r="S8">
        <v>1135491</v>
      </c>
      <c r="T8">
        <v>1063289</v>
      </c>
      <c r="U8">
        <v>1135490</v>
      </c>
      <c r="V8">
        <v>1065284</v>
      </c>
      <c r="X8">
        <v>1135491</v>
      </c>
      <c r="Y8">
        <v>1020543</v>
      </c>
    </row>
    <row r="9" spans="1:25">
      <c r="B9" s="30"/>
      <c r="D9">
        <v>1005267</v>
      </c>
      <c r="E9" s="30" t="s">
        <v>76</v>
      </c>
      <c r="F9" s="64">
        <f>Processzor!$B$2</f>
        <v>0</v>
      </c>
      <c r="G9" s="30" t="s">
        <v>67</v>
      </c>
      <c r="H9">
        <v>20</v>
      </c>
      <c r="K9">
        <f t="shared" si="0"/>
        <v>1135491</v>
      </c>
      <c r="M9">
        <f t="shared" si="1"/>
        <v>1020543</v>
      </c>
      <c r="N9">
        <f t="shared" si="2"/>
        <v>1135491</v>
      </c>
      <c r="O9">
        <f t="shared" si="3"/>
        <v>1065290</v>
      </c>
      <c r="R9">
        <v>1058092</v>
      </c>
      <c r="T9">
        <v>1135490</v>
      </c>
      <c r="U9">
        <v>1013426</v>
      </c>
      <c r="V9">
        <v>1135491</v>
      </c>
      <c r="Y9">
        <v>1063933</v>
      </c>
    </row>
    <row r="10" spans="1:25" ht="15.6">
      <c r="A10" t="s">
        <v>68</v>
      </c>
      <c r="B10" s="30"/>
      <c r="D10">
        <v>1005485</v>
      </c>
      <c r="E10" s="30" t="s">
        <v>77</v>
      </c>
      <c r="F10" s="64">
        <f>Processzor!$B$2</f>
        <v>0</v>
      </c>
      <c r="G10" s="30" t="s">
        <v>75</v>
      </c>
      <c r="H10">
        <v>12.5</v>
      </c>
      <c r="M10">
        <f t="shared" si="1"/>
        <v>1065290</v>
      </c>
      <c r="O10">
        <f t="shared" si="3"/>
        <v>1135492</v>
      </c>
      <c r="T10">
        <v>1013426</v>
      </c>
      <c r="Y10">
        <v>1063932</v>
      </c>
    </row>
    <row r="11" spans="1:25">
      <c r="A11">
        <v>1005485</v>
      </c>
      <c r="B11" s="30" t="str">
        <f t="shared" ref="B11:B16" si="7">VLOOKUP(A11,$D$3:$E$35,2,FALSE)</f>
        <v>Uponor Siccus rendszerlemez 1197x1050x25mm</v>
      </c>
      <c r="D11">
        <v>1005486</v>
      </c>
      <c r="E11" s="30" t="s">
        <v>78</v>
      </c>
      <c r="F11">
        <f>Processzor!$B$2*5</f>
        <v>0</v>
      </c>
      <c r="G11" s="30" t="s">
        <v>79</v>
      </c>
      <c r="H11">
        <v>10</v>
      </c>
      <c r="M11">
        <f t="shared" si="1"/>
        <v>1135492</v>
      </c>
    </row>
    <row r="12" spans="1:25" ht="15.6">
      <c r="A12">
        <v>1005486</v>
      </c>
      <c r="B12" s="30" t="str">
        <f t="shared" si="7"/>
        <v xml:space="preserve">Uponor Siccus hőelosztó lemez </v>
      </c>
      <c r="D12">
        <v>1005049</v>
      </c>
      <c r="E12" s="30" t="s">
        <v>80</v>
      </c>
      <c r="F12" s="64">
        <f>Processzor!$B$2</f>
        <v>0</v>
      </c>
      <c r="G12" s="30" t="s">
        <v>75</v>
      </c>
      <c r="H12">
        <v>75</v>
      </c>
    </row>
    <row r="13" spans="1:25">
      <c r="A13">
        <v>1005049</v>
      </c>
      <c r="B13" s="30" t="str">
        <f t="shared" si="7"/>
        <v xml:space="preserve">Uponor Multi fólia PE, 0,2mm, 60x1,25m 75m2 </v>
      </c>
      <c r="D13">
        <v>1000080</v>
      </c>
      <c r="E13" s="30" t="s">
        <v>81</v>
      </c>
      <c r="F13" s="64">
        <f>Processzor!$B$2</f>
        <v>0</v>
      </c>
      <c r="G13" s="30" t="s">
        <v>67</v>
      </c>
      <c r="H13">
        <v>50</v>
      </c>
      <c r="J13" s="65"/>
    </row>
    <row r="14" spans="1:25">
      <c r="A14">
        <v>1062884</v>
      </c>
      <c r="B14" s="30" t="str">
        <f t="shared" si="7"/>
        <v>Uponor Comfort Plus cső 14x2,0 240m</v>
      </c>
      <c r="D14">
        <v>1061171</v>
      </c>
      <c r="E14" s="30" t="s">
        <v>82</v>
      </c>
      <c r="F14">
        <f>ROUND(Processzor!$B$2*0.9/1.25,0)</f>
        <v>0</v>
      </c>
      <c r="G14" s="30" t="s">
        <v>79</v>
      </c>
      <c r="H14">
        <v>1</v>
      </c>
    </row>
    <row r="15" spans="1:25">
      <c r="A15">
        <v>1065283</v>
      </c>
      <c r="B15" s="30" t="str">
        <f t="shared" si="7"/>
        <v>Uponor Vario PE-Xa Eurokónuszos csavarzat 14x2,0-3/4"</v>
      </c>
      <c r="D15">
        <v>1061172</v>
      </c>
      <c r="E15" s="30" t="s">
        <v>83</v>
      </c>
      <c r="F15">
        <f>ROUND(Processzor!$B$2*0.1/0.75,0)</f>
        <v>0</v>
      </c>
      <c r="G15" s="30" t="s">
        <v>79</v>
      </c>
      <c r="H15">
        <v>1</v>
      </c>
    </row>
    <row r="16" spans="1:25">
      <c r="A16">
        <v>1135491</v>
      </c>
      <c r="B16" s="30" t="str">
        <f t="shared" si="7"/>
        <v>Uponor Multi műanyag csővezető ív 14-18</v>
      </c>
      <c r="D16">
        <v>1005264</v>
      </c>
      <c r="E16" s="30" t="s">
        <v>84</v>
      </c>
      <c r="F16">
        <f>IF(Processzor!$B$1="Renovis",ROUND($F$14/3*2,-1),IF(OR(Processzor!$B$1="FIX", Processzor!$B$1="Contec ON"),10,0))</f>
        <v>0</v>
      </c>
      <c r="G16" s="30" t="s">
        <v>79</v>
      </c>
      <c r="H16">
        <v>1</v>
      </c>
    </row>
    <row r="17" spans="1:12">
      <c r="B17" s="30"/>
      <c r="D17">
        <v>1020518</v>
      </c>
      <c r="E17" s="30" t="s">
        <v>85</v>
      </c>
      <c r="F17">
        <f>IF(Processzor!$B$1="Renovis",Processzor!U11*2,Processzor!W11*2)</f>
        <v>0</v>
      </c>
      <c r="G17" s="30" t="s">
        <v>79</v>
      </c>
      <c r="H17">
        <v>1</v>
      </c>
    </row>
    <row r="18" spans="1:12">
      <c r="A18" t="s">
        <v>30</v>
      </c>
      <c r="B18" s="30"/>
      <c r="D18">
        <v>1020524</v>
      </c>
      <c r="E18" s="30" t="s">
        <v>86</v>
      </c>
      <c r="F18">
        <f>IF(Processzor!$B$1="Renovis",ROUND($F$14/9*4,-1),IF(OR(Processzor!$B$1="FIX", Processzor!$B$1="Contec ON"),Processzor!$W$11*4,0))</f>
        <v>0</v>
      </c>
      <c r="G18" s="30" t="s">
        <v>79</v>
      </c>
      <c r="H18">
        <v>1</v>
      </c>
    </row>
    <row r="19" spans="1:12" ht="15.6">
      <c r="A19">
        <v>1062045</v>
      </c>
      <c r="B19" s="30" t="str">
        <f>VLOOKUP(A19,$D$3:$E$35,2,FALSE)</f>
        <v>Uponor Comfort Plus cső 16x2,0 240m</v>
      </c>
      <c r="D19">
        <v>1090924</v>
      </c>
      <c r="E19" s="30" t="s">
        <v>87</v>
      </c>
      <c r="F19" s="64">
        <f>Processzor!$B$2</f>
        <v>0</v>
      </c>
      <c r="G19" s="30" t="s">
        <v>75</v>
      </c>
      <c r="H19">
        <v>10</v>
      </c>
    </row>
    <row r="20" spans="1:12">
      <c r="A20">
        <v>1005049</v>
      </c>
      <c r="B20" s="30" t="str">
        <f>VLOOKUP(A20,$D$3:$E$35,2,FALSE)</f>
        <v xml:space="preserve">Uponor Multi fólia PE, 0,2mm, 60x1,25m 75m2 </v>
      </c>
      <c r="D20">
        <v>1140159</v>
      </c>
      <c r="E20" s="30" t="s">
        <v>88</v>
      </c>
      <c r="F20">
        <f>ROUNDUP(F5*2.5/300,0)</f>
        <v>0</v>
      </c>
      <c r="G20" s="30" t="s">
        <v>79</v>
      </c>
      <c r="H20">
        <v>1000</v>
      </c>
    </row>
    <row r="21" spans="1:12">
      <c r="A21">
        <v>1000080</v>
      </c>
      <c r="B21" s="30" t="str">
        <f>VLOOKUP(A21,$D$3:$E$35,2,FALSE)</f>
        <v>Uponor Multi szegélyszigetelés 150x10 mm 50m - ragasztócsíkkal</v>
      </c>
      <c r="D21">
        <v>1005274</v>
      </c>
      <c r="E21" s="30" t="s">
        <v>89</v>
      </c>
      <c r="F21">
        <f>Processzor!$B$2*3</f>
        <v>0</v>
      </c>
      <c r="G21" s="30" t="s">
        <v>67</v>
      </c>
      <c r="H21">
        <v>2.5</v>
      </c>
    </row>
    <row r="22" spans="1:12">
      <c r="A22">
        <v>1065284</v>
      </c>
      <c r="B22" s="30" t="str">
        <f>VLOOKUP(A22,$D$3:$E$35,2,FALSE)</f>
        <v>Uponor Vario PE-Xa Eurokónuszos csavarzat 16x2,0-3/4"</v>
      </c>
      <c r="D22">
        <v>1013426</v>
      </c>
      <c r="E22" s="30" t="s">
        <v>90</v>
      </c>
      <c r="F22">
        <f>Processzor!$J$11*2</f>
        <v>0</v>
      </c>
      <c r="G22" s="30" t="s">
        <v>79</v>
      </c>
      <c r="H22">
        <v>1</v>
      </c>
    </row>
    <row r="23" spans="1:12">
      <c r="A23">
        <v>1135491</v>
      </c>
      <c r="B23" s="30" t="str">
        <f>VLOOKUP(A23,$D$3:$E$35,2,FALSE)</f>
        <v>Uponor Multi műanyag csővezető ív 14-18</v>
      </c>
      <c r="D23">
        <v>1065283</v>
      </c>
      <c r="E23" s="30" t="s">
        <v>91</v>
      </c>
      <c r="F23">
        <f>Processzor!$M$11*2</f>
        <v>0</v>
      </c>
      <c r="G23" s="30" t="s">
        <v>79</v>
      </c>
      <c r="H23">
        <v>1</v>
      </c>
    </row>
    <row r="24" spans="1:12">
      <c r="B24" s="30"/>
      <c r="D24">
        <v>1065284</v>
      </c>
      <c r="E24" s="30" t="s">
        <v>92</v>
      </c>
      <c r="F24">
        <f>Processzor!$P$11*2</f>
        <v>0</v>
      </c>
      <c r="G24" s="30" t="s">
        <v>79</v>
      </c>
      <c r="H24">
        <v>1</v>
      </c>
    </row>
    <row r="25" spans="1:12">
      <c r="A25" t="s">
        <v>20</v>
      </c>
      <c r="B25" s="30"/>
      <c r="D25">
        <v>1065290</v>
      </c>
      <c r="E25" s="30" t="s">
        <v>93</v>
      </c>
      <c r="F25">
        <f>IF(Processzor!$B$1="Renovis",Processzor!$U$11*2,Processzor!$W$11*2)</f>
        <v>0</v>
      </c>
      <c r="G25" s="30" t="s">
        <v>79</v>
      </c>
      <c r="H25">
        <v>1</v>
      </c>
    </row>
    <row r="26" spans="1:12">
      <c r="A26">
        <v>1061171</v>
      </c>
      <c r="B26" s="30" t="str">
        <f t="shared" ref="B26:B33" si="8">VLOOKUP(A26,$D$3:$E$35,2,FALSE)</f>
        <v>Uponor Renovis Panel 2×0,625m</v>
      </c>
      <c r="D26" s="66">
        <v>1135490</v>
      </c>
      <c r="E26" s="76" t="s">
        <v>94</v>
      </c>
      <c r="F26">
        <f>Processzor!$J$11*2</f>
        <v>0</v>
      </c>
      <c r="G26" s="30" t="s">
        <v>79</v>
      </c>
      <c r="H26">
        <v>1</v>
      </c>
      <c r="L26" s="64"/>
    </row>
    <row r="27" spans="1:12">
      <c r="A27">
        <v>1061172</v>
      </c>
      <c r="B27" s="30" t="str">
        <f t="shared" si="8"/>
        <v>Uponor Renovis Panel 1,2×0,625m</v>
      </c>
      <c r="D27" s="69">
        <v>1135491</v>
      </c>
      <c r="E27" s="77" t="s">
        <v>95</v>
      </c>
      <c r="F27">
        <f>IF(Processzor!$B$1="Siccus",Processzor!$M$11*2,Processzor!$P$11*2)</f>
        <v>0</v>
      </c>
      <c r="G27" s="30" t="s">
        <v>79</v>
      </c>
      <c r="H27">
        <v>1</v>
      </c>
      <c r="L27" s="30"/>
    </row>
    <row r="28" spans="1:12">
      <c r="A28">
        <v>1005264</v>
      </c>
      <c r="B28" s="30" t="str">
        <f t="shared" si="8"/>
        <v>Uponor Q&amp;E toldó gyűrűvel 9,9</v>
      </c>
      <c r="D28" s="78">
        <v>1135492</v>
      </c>
      <c r="E28" s="79" t="s">
        <v>96</v>
      </c>
      <c r="F28">
        <f>IF(Processzor!$B$1="Renovis",Processzor!$U$11*2,Processzor!$W$11*2)</f>
        <v>0</v>
      </c>
      <c r="G28" s="30" t="s">
        <v>79</v>
      </c>
      <c r="H28">
        <v>1</v>
      </c>
    </row>
    <row r="29" spans="1:12">
      <c r="A29">
        <v>1020518</v>
      </c>
      <c r="B29" s="30" t="str">
        <f t="shared" si="8"/>
        <v>Uponor Q&amp;E réz szűkítő 20x9,9</v>
      </c>
      <c r="D29">
        <v>1038166</v>
      </c>
      <c r="E29" s="30" t="s">
        <v>97</v>
      </c>
      <c r="F29">
        <f>_xlfn.IFNA(VLOOKUP(HLOOKUP(Processzor!$B$1,Processzor!$J$4:$X$11,8,FALSE),'Osztó Vario PLUS'!$A$4:$S$40,MATCH(D29,'Osztó Vario PLUS'!$A$4:$S$4,0),FALSE),0)</f>
        <v>0</v>
      </c>
      <c r="G29" s="30" t="s">
        <v>79</v>
      </c>
      <c r="H29">
        <v>1</v>
      </c>
    </row>
    <row r="30" spans="1:12">
      <c r="A30">
        <v>1020524</v>
      </c>
      <c r="B30" s="30" t="str">
        <f t="shared" si="8"/>
        <v>Uponor Q&amp;E réz T 20x9,9x20</v>
      </c>
      <c r="D30">
        <v>1059132</v>
      </c>
      <c r="E30" s="30" t="s">
        <v>98</v>
      </c>
      <c r="F30">
        <f>_xlfn.IFNA(VLOOKUP(HLOOKUP(Processzor!$B$1,Processzor!$J$4:$X$11,8,FALSE),'Osztó Vario PLUS'!$A$4:$S$40,MATCH(D30,'Osztó Vario PLUS'!$A$4:$S$4,0),FALSE),0)</f>
        <v>0</v>
      </c>
      <c r="G30" s="30" t="s">
        <v>79</v>
      </c>
      <c r="H30">
        <v>1</v>
      </c>
    </row>
    <row r="31" spans="1:12">
      <c r="A31">
        <v>1020543</v>
      </c>
      <c r="B31" s="30" t="str">
        <f t="shared" si="8"/>
        <v>Uponor Comfort Plus 20×2.0 S9-es szigetelt cső 60m</v>
      </c>
      <c r="D31">
        <v>1136216</v>
      </c>
      <c r="E31" s="30" t="s">
        <v>99</v>
      </c>
      <c r="F31">
        <f>_xlfn.IFNA(VLOOKUP(HLOOKUP(Processzor!$B$1,Processzor!$J$4:$X$11,8,FALSE),'Osztó Vario PLUS'!$A$4:$S$40,MATCH(D31,'Osztó Vario PLUS'!$A$4:$S$4,0),FALSE),0)</f>
        <v>0</v>
      </c>
      <c r="G31" s="30" t="s">
        <v>79</v>
      </c>
      <c r="H31">
        <v>1</v>
      </c>
    </row>
    <row r="32" spans="1:12">
      <c r="A32">
        <v>1065290</v>
      </c>
      <c r="B32" s="30" t="str">
        <f t="shared" si="8"/>
        <v>Uponor Vario PE-Xa Eurokónuszos csavarzat 20x2,0-3/4"</v>
      </c>
      <c r="D32">
        <v>1136217</v>
      </c>
      <c r="E32" s="30" t="s">
        <v>100</v>
      </c>
      <c r="F32">
        <f>_xlfn.IFNA(VLOOKUP(HLOOKUP(Processzor!$B$1,Processzor!$J$4:$X$11,8,FALSE),'Osztó Vario PLUS'!$A$4:$S$40,MATCH(D32,'Osztó Vario PLUS'!$A$4:$S$4,0),FALSE),0)</f>
        <v>0</v>
      </c>
      <c r="G32" s="30" t="s">
        <v>79</v>
      </c>
      <c r="H32">
        <v>1</v>
      </c>
    </row>
    <row r="33" spans="1:8">
      <c r="A33">
        <v>1135492</v>
      </c>
      <c r="B33" s="30" t="str">
        <f t="shared" si="8"/>
        <v>Uponor Multi műanyag csővezető ív 20-22</v>
      </c>
      <c r="D33">
        <v>1136218</v>
      </c>
      <c r="E33" s="30" t="s">
        <v>101</v>
      </c>
      <c r="F33">
        <f>_xlfn.IFNA(VLOOKUP(HLOOKUP(Processzor!$B$1,Processzor!$J$4:$X$11,8,FALSE),'Osztó Vario PLUS'!$A$4:$S$40,MATCH(D33,'Osztó Vario PLUS'!$A$4:$S$4,0),FALSE),0)</f>
        <v>0</v>
      </c>
      <c r="G33" s="30" t="s">
        <v>79</v>
      </c>
      <c r="H33">
        <v>1</v>
      </c>
    </row>
    <row r="34" spans="1:8">
      <c r="B34" s="30"/>
      <c r="D34">
        <v>1136219</v>
      </c>
      <c r="E34" s="30" t="s">
        <v>102</v>
      </c>
      <c r="F34">
        <f>_xlfn.IFNA(VLOOKUP(HLOOKUP(Processzor!$B$1,Processzor!$J$4:$X$11,8,FALSE),'Osztó Vario PLUS'!$A$4:$S$34,MATCH(D34,'Osztó Vario PLUS'!$A$4:$S$4,0),FALSE),0)</f>
        <v>0</v>
      </c>
      <c r="G34" s="30" t="s">
        <v>79</v>
      </c>
      <c r="H34">
        <v>1</v>
      </c>
    </row>
    <row r="35" spans="1:8" ht="15.6">
      <c r="A35" t="s">
        <v>31</v>
      </c>
      <c r="B35" s="30"/>
      <c r="D35">
        <v>1005477</v>
      </c>
      <c r="E35" s="30" t="s">
        <v>103</v>
      </c>
      <c r="F35" s="64">
        <f>Processzor!B2</f>
        <v>0</v>
      </c>
      <c r="G35" s="30" t="s">
        <v>75</v>
      </c>
      <c r="H35">
        <v>15.68</v>
      </c>
    </row>
    <row r="36" spans="1:8">
      <c r="A36">
        <v>1090924</v>
      </c>
      <c r="B36" s="30" t="str">
        <f t="shared" ref="B36:B41" si="9">VLOOKUP(A36,$D$3:$E$35,2,FALSE)</f>
        <v>Uponor Tacker Panel 30mm DES 30-2</v>
      </c>
      <c r="D36">
        <v>1012864</v>
      </c>
      <c r="E36" s="30" t="s">
        <v>104</v>
      </c>
      <c r="F36">
        <f>Processzor!S11*4</f>
        <v>0</v>
      </c>
      <c r="G36" s="30" t="s">
        <v>67</v>
      </c>
      <c r="H36">
        <v>50</v>
      </c>
    </row>
    <row r="37" spans="1:8">
      <c r="A37">
        <v>1140159</v>
      </c>
      <c r="B37" s="30" t="str">
        <f t="shared" si="9"/>
        <v>Uponor Tacker rögzítő tüske, 14-20mm h=40mm, 1000db</v>
      </c>
      <c r="D37">
        <v>1005376</v>
      </c>
      <c r="E37" t="s">
        <v>105</v>
      </c>
      <c r="F37">
        <f>Processzor!S11*2</f>
        <v>0</v>
      </c>
      <c r="G37" s="30" t="s">
        <v>79</v>
      </c>
      <c r="H37">
        <v>1</v>
      </c>
    </row>
    <row r="38" spans="1:8">
      <c r="A38">
        <v>1062045</v>
      </c>
      <c r="B38" s="30" t="str">
        <f t="shared" si="9"/>
        <v>Uponor Comfort Plus cső 16x2,0 240m</v>
      </c>
      <c r="D38">
        <v>1090937</v>
      </c>
      <c r="E38" t="s">
        <v>106</v>
      </c>
      <c r="F38">
        <f>Processzor!Y11</f>
        <v>0</v>
      </c>
      <c r="G38" s="30" t="s">
        <v>79</v>
      </c>
      <c r="H38">
        <v>1</v>
      </c>
    </row>
    <row r="39" spans="1:8">
      <c r="A39">
        <v>1000080</v>
      </c>
      <c r="B39" s="30" t="str">
        <f t="shared" si="9"/>
        <v>Uponor Multi szegélyszigetelés 150x10 mm 50m - ragasztócsíkkal</v>
      </c>
      <c r="D39">
        <v>1039950</v>
      </c>
      <c r="E39" t="s">
        <v>107</v>
      </c>
      <c r="F39">
        <f>Processzor!AC11</f>
        <v>0</v>
      </c>
      <c r="G39" s="30" t="s">
        <v>79</v>
      </c>
      <c r="H39">
        <v>10</v>
      </c>
    </row>
    <row r="40" spans="1:8">
      <c r="A40">
        <v>1065284</v>
      </c>
      <c r="B40" s="30" t="str">
        <f t="shared" si="9"/>
        <v>Uponor Vario PE-Xa Eurokónuszos csavarzat 16x2,0-3/4"</v>
      </c>
      <c r="D40">
        <v>1039937</v>
      </c>
      <c r="E40" t="s">
        <v>108</v>
      </c>
      <c r="F40">
        <f>Processzor!AB11</f>
        <v>0</v>
      </c>
      <c r="G40" s="30" t="s">
        <v>79</v>
      </c>
      <c r="H40">
        <v>10</v>
      </c>
    </row>
    <row r="41" spans="1:8">
      <c r="A41">
        <v>1135491</v>
      </c>
      <c r="B41" s="30" t="str">
        <f t="shared" si="9"/>
        <v>Uponor Multi műanyag csővezető ív 14-18</v>
      </c>
      <c r="D41">
        <v>1039933</v>
      </c>
      <c r="E41" t="s">
        <v>109</v>
      </c>
      <c r="F41" s="30">
        <f>Processzor!AD11</f>
        <v>0</v>
      </c>
      <c r="G41" s="30" t="s">
        <v>79</v>
      </c>
      <c r="H41">
        <v>10</v>
      </c>
    </row>
    <row r="42" spans="1:8">
      <c r="B42" s="30"/>
      <c r="D42">
        <v>1063557</v>
      </c>
      <c r="E42" t="s">
        <v>110</v>
      </c>
      <c r="F42">
        <f>Processzor!X11*30</f>
        <v>0</v>
      </c>
      <c r="G42" s="30" t="s">
        <v>67</v>
      </c>
      <c r="H42">
        <v>75</v>
      </c>
    </row>
    <row r="43" spans="1:8">
      <c r="A43" t="s">
        <v>36</v>
      </c>
      <c r="B43" s="30"/>
      <c r="D43">
        <v>1042471</v>
      </c>
      <c r="E43" s="30" t="s">
        <v>111</v>
      </c>
      <c r="F43">
        <f>_xlfn.IFNA(VLOOKUP(HLOOKUP(Processzor!$B$1,Processzor!$J$4:$X$11,8,FALSE),'Osztó Vario PLUS'!$A$4:$S$40,MATCH(D43,'Osztó Vario PLUS'!$A$4:$S$4,0),FALSE),0)</f>
        <v>0</v>
      </c>
      <c r="G43" s="30" t="s">
        <v>79</v>
      </c>
      <c r="H43">
        <v>1</v>
      </c>
    </row>
    <row r="44" spans="1:8">
      <c r="A44">
        <v>1005274</v>
      </c>
      <c r="B44" s="30" t="str">
        <f t="shared" ref="B44:B107" si="10">VLOOKUP(A44,$D$3:$E$35,2,FALSE)</f>
        <v>Uponor Fix tartósín 9,9mm</v>
      </c>
      <c r="D44">
        <v>1030583</v>
      </c>
      <c r="E44" s="30" t="s">
        <v>112</v>
      </c>
      <c r="F44">
        <f>_xlfn.IFNA(VLOOKUP(HLOOKUP(Processzor!$B$1,Processzor!$J$4:$X$11,8,FALSE),'Osztó Vario PLUS'!$A$4:$S$40,MATCH(D44,'Osztó Vario PLUS'!$A$4:$S$4,0),FALSE),0)</f>
        <v>0</v>
      </c>
      <c r="G44" s="30" t="s">
        <v>79</v>
      </c>
      <c r="H44">
        <v>1</v>
      </c>
    </row>
    <row r="45" spans="1:8">
      <c r="A45">
        <v>1063289</v>
      </c>
      <c r="B45" s="30" t="str">
        <f t="shared" si="10"/>
        <v>Uponor Minitec Comfort cső 9.9x1.1 240m</v>
      </c>
      <c r="D45">
        <v>1030584</v>
      </c>
      <c r="E45" s="30" t="s">
        <v>113</v>
      </c>
      <c r="F45">
        <f>_xlfn.IFNA(VLOOKUP(HLOOKUP(Processzor!$B$1,Processzor!$J$4:$X$11,8,FALSE),'Osztó Vario PLUS'!$A$4:$S$40,MATCH(D45,'Osztó Vario PLUS'!$A$4:$S$4,0),FALSE),0)</f>
        <v>0</v>
      </c>
      <c r="G45" s="30" t="s">
        <v>79</v>
      </c>
      <c r="H45">
        <v>1</v>
      </c>
    </row>
    <row r="46" spans="1:8">
      <c r="A46">
        <v>1020543</v>
      </c>
      <c r="B46" s="30" t="str">
        <f t="shared" si="10"/>
        <v>Uponor Comfort Plus 20×2.0 S9-es szigetelt cső 60m</v>
      </c>
      <c r="D46">
        <v>1030585</v>
      </c>
      <c r="E46" s="30" t="s">
        <v>114</v>
      </c>
      <c r="F46">
        <f>_xlfn.IFNA(VLOOKUP(HLOOKUP(Processzor!$B$1,Processzor!$J$4:$X$11,8,FALSE),'Osztó Vario PLUS'!$A$4:$S$40,MATCH(D46,'Osztó Vario PLUS'!$A$4:$S$4,0),FALSE),0)</f>
        <v>0</v>
      </c>
      <c r="G46" s="30" t="s">
        <v>79</v>
      </c>
      <c r="H46">
        <v>1</v>
      </c>
    </row>
    <row r="47" spans="1:8">
      <c r="A47">
        <v>1020518</v>
      </c>
      <c r="B47" s="30" t="str">
        <f t="shared" si="10"/>
        <v>Uponor Q&amp;E réz szűkítő 20x9,9</v>
      </c>
      <c r="D47">
        <v>1009209</v>
      </c>
      <c r="E47" s="30" t="s">
        <v>115</v>
      </c>
      <c r="F47">
        <f>_xlfn.IFNA(VLOOKUP(HLOOKUP(Processzor!$B$1,Processzor!$J$4:$X$11,8,FALSE),'Osztó Vario PLUS'!$A$4:$S$40,MATCH(D47,'Osztó Vario PLUS'!$A$4:$S$4,0),FALSE),0)</f>
        <v>0</v>
      </c>
      <c r="G47" s="30" t="s">
        <v>79</v>
      </c>
      <c r="H47">
        <v>1</v>
      </c>
    </row>
    <row r="48" spans="1:8">
      <c r="A48">
        <v>1020524</v>
      </c>
      <c r="B48" s="30" t="str">
        <f t="shared" si="10"/>
        <v>Uponor Q&amp;E réz T 20x9,9x20</v>
      </c>
      <c r="D48">
        <v>1012860</v>
      </c>
      <c r="E48" s="30" t="s">
        <v>116</v>
      </c>
      <c r="F48">
        <v>50</v>
      </c>
      <c r="G48" s="30" t="s">
        <v>79</v>
      </c>
      <c r="H48">
        <v>50</v>
      </c>
    </row>
    <row r="49" spans="1:8">
      <c r="A49">
        <v>1065290</v>
      </c>
      <c r="B49" s="30" t="str">
        <f t="shared" si="10"/>
        <v>Uponor Vario PE-Xa Eurokónuszos csavarzat 20x2,0-3/4"</v>
      </c>
      <c r="D49">
        <v>1032702</v>
      </c>
      <c r="E49" s="30" t="s">
        <v>117</v>
      </c>
      <c r="F49">
        <f>_xlfn.IFNA(VLOOKUP(HLOOKUP(Processzor!$B$1,Processzor!$J$4:$X$11,8,FALSE),'Osztó Vario PLUS'!$A$4:$S$40,MATCH(D49,'Osztó Vario PLUS'!$A$4:$S$4,0),FALSE),0)</f>
        <v>0</v>
      </c>
      <c r="G49" s="30" t="s">
        <v>118</v>
      </c>
      <c r="H49">
        <v>1</v>
      </c>
    </row>
    <row r="50" spans="1:8">
      <c r="A50">
        <v>1135492</v>
      </c>
      <c r="B50" s="30" t="str">
        <f t="shared" si="10"/>
        <v>Uponor Multi műanyag csővezető ív 20-22</v>
      </c>
      <c r="D50">
        <v>1087302</v>
      </c>
      <c r="E50" s="30" t="s">
        <v>119</v>
      </c>
      <c r="F50" s="64">
        <f>Processzor!AE11</f>
        <v>0</v>
      </c>
      <c r="G50" s="30" t="s">
        <v>67</v>
      </c>
      <c r="H50">
        <v>240</v>
      </c>
    </row>
    <row r="51" spans="1:8">
      <c r="B51" s="30"/>
      <c r="D51">
        <v>1063322</v>
      </c>
      <c r="E51" s="30" t="s">
        <v>120</v>
      </c>
      <c r="F51" s="64">
        <f>Processzor!$B$2</f>
        <v>0</v>
      </c>
      <c r="G51" s="30" t="s">
        <v>121</v>
      </c>
      <c r="H51">
        <v>10</v>
      </c>
    </row>
    <row r="52" spans="1:8">
      <c r="A52" t="s">
        <v>32</v>
      </c>
      <c r="B52" s="30"/>
      <c r="D52">
        <v>1161845</v>
      </c>
      <c r="E52" t="s">
        <v>122</v>
      </c>
      <c r="F52" s="64">
        <f>Processzor!$B$2</f>
        <v>0</v>
      </c>
      <c r="G52" t="s">
        <v>121</v>
      </c>
      <c r="H52">
        <v>7.2</v>
      </c>
    </row>
    <row r="53" spans="1:8">
      <c r="A53">
        <v>1062045</v>
      </c>
      <c r="B53" s="30" t="str">
        <f t="shared" si="10"/>
        <v>Uponor Comfort Plus cső 16x2,0 240m</v>
      </c>
      <c r="D53">
        <v>1005049</v>
      </c>
      <c r="E53" t="s">
        <v>80</v>
      </c>
      <c r="F53" s="64">
        <f>Processzor!$B$2</f>
        <v>0</v>
      </c>
      <c r="G53" t="s">
        <v>121</v>
      </c>
      <c r="H53">
        <v>75</v>
      </c>
    </row>
    <row r="54" spans="1:8">
      <c r="A54">
        <v>1005477</v>
      </c>
      <c r="B54" s="30" t="str">
        <f t="shared" si="10"/>
        <v>Uponor Tecto rendszerlemez 1450x850x11mm</v>
      </c>
      <c r="D54">
        <v>1005267</v>
      </c>
      <c r="E54" t="s">
        <v>76</v>
      </c>
      <c r="F54" s="64">
        <f>Processzor!$B$2</f>
        <v>0</v>
      </c>
      <c r="G54" t="s">
        <v>67</v>
      </c>
      <c r="H54">
        <v>20</v>
      </c>
    </row>
    <row r="55" spans="1:8">
      <c r="A55">
        <v>1000080</v>
      </c>
      <c r="B55" s="30" t="str">
        <f t="shared" si="10"/>
        <v>Uponor Multi szegélyszigetelés 150x10 mm 50m - ragasztócsíkkal</v>
      </c>
      <c r="D55">
        <v>1139794</v>
      </c>
      <c r="E55" t="s">
        <v>123</v>
      </c>
      <c r="F55" s="64">
        <f>Processzor!$B$2</f>
        <v>0</v>
      </c>
      <c r="G55" t="s">
        <v>67</v>
      </c>
      <c r="H55">
        <v>10</v>
      </c>
    </row>
    <row r="56" spans="1:8">
      <c r="A56">
        <v>1065284</v>
      </c>
      <c r="B56" s="30" t="str">
        <f t="shared" si="10"/>
        <v>Uponor Vario PE-Xa Eurokónuszos csavarzat 16x2,0-3/4"</v>
      </c>
      <c r="D56">
        <v>1058092</v>
      </c>
      <c r="E56" t="s">
        <v>124</v>
      </c>
      <c r="F56">
        <f>Processzor!X11*2</f>
        <v>0</v>
      </c>
      <c r="G56" s="42" t="s">
        <v>79</v>
      </c>
      <c r="H56">
        <v>1</v>
      </c>
    </row>
    <row r="57" spans="1:8">
      <c r="A57">
        <v>1135491</v>
      </c>
      <c r="B57" s="30" t="str">
        <f t="shared" si="10"/>
        <v>Uponor Multi műanyag csővezető ív 14-18</v>
      </c>
      <c r="D57">
        <v>1143475</v>
      </c>
      <c r="E57" t="s">
        <v>125</v>
      </c>
      <c r="F57" s="64">
        <f>Processzor!$B$2</f>
        <v>0</v>
      </c>
      <c r="G57" t="s">
        <v>121</v>
      </c>
      <c r="H57">
        <v>7.2</v>
      </c>
    </row>
    <row r="58" spans="1:8">
      <c r="B58" s="30"/>
      <c r="D58">
        <v>1143476</v>
      </c>
      <c r="E58" t="s">
        <v>126</v>
      </c>
      <c r="F58" s="64">
        <f>Processzor!$B$2</f>
        <v>0</v>
      </c>
      <c r="G58" t="s">
        <v>67</v>
      </c>
      <c r="H58">
        <v>10</v>
      </c>
    </row>
    <row r="59" spans="1:8">
      <c r="A59" t="s">
        <v>127</v>
      </c>
      <c r="B59" s="30"/>
      <c r="D59">
        <v>1005405</v>
      </c>
      <c r="E59" t="s">
        <v>128</v>
      </c>
      <c r="F59" s="64">
        <f>Processzor!$B$2</f>
        <v>0</v>
      </c>
      <c r="G59" t="s">
        <v>79</v>
      </c>
      <c r="H59">
        <v>40</v>
      </c>
    </row>
    <row r="60" spans="1:8">
      <c r="A60">
        <v>1009230</v>
      </c>
      <c r="B60" s="30" t="str">
        <f t="shared" si="10"/>
        <v>Uponor Comfort Plus cső 20x2,0 240m</v>
      </c>
      <c r="D60">
        <v>1063933</v>
      </c>
      <c r="E60" t="s">
        <v>129</v>
      </c>
      <c r="F60">
        <f>IF(Processzor!$B$1="Renovis",Processzor!U11*2,Processzor!W11*2)</f>
        <v>0</v>
      </c>
      <c r="G60" t="s">
        <v>79</v>
      </c>
      <c r="H60">
        <v>1</v>
      </c>
    </row>
    <row r="61" spans="1:8">
      <c r="A61">
        <v>1065290</v>
      </c>
      <c r="B61" s="30" t="str">
        <f t="shared" si="10"/>
        <v>Uponor Vario PE-Xa Eurokónuszos csavarzat 20x2,0-3/4"</v>
      </c>
      <c r="D61">
        <v>1063932</v>
      </c>
      <c r="E61" t="s">
        <v>130</v>
      </c>
      <c r="F61">
        <f>IF(Processzor!$B$1="Renovis",ROUND($F$14/9*4,-1),IF(OR(Processzor!$B$1="FIX", Processzor!$B$1="Contec ON"),Processzor!$W$11*4,0))</f>
        <v>0</v>
      </c>
      <c r="G61" t="s">
        <v>79</v>
      </c>
      <c r="H61">
        <v>1</v>
      </c>
    </row>
    <row r="62" spans="1:8">
      <c r="A62">
        <v>1012864</v>
      </c>
      <c r="B62" s="30" t="str">
        <f>VLOOKUP(A62,$D$3:$E$61,2,FALSE)</f>
        <v>Uponor Teck védőcső 20-as csőre 28/23 fekete 50m</v>
      </c>
    </row>
    <row r="63" spans="1:8">
      <c r="A63">
        <v>1005376</v>
      </c>
      <c r="B63" s="30" t="str">
        <f t="shared" ref="B63:B110" si="11">VLOOKUP(A63,$D$3:$E$61,2,FALSE)</f>
        <v>Uponor födémátvezető elem</v>
      </c>
    </row>
    <row r="64" spans="1:8">
      <c r="B64" s="30"/>
    </row>
    <row r="65" spans="1:2">
      <c r="A65" s="30" t="s">
        <v>18</v>
      </c>
      <c r="B65" s="30"/>
    </row>
    <row r="66" spans="1:2">
      <c r="A66">
        <v>1090937</v>
      </c>
      <c r="B66" s="30" t="str">
        <f t="shared" si="11"/>
        <v>Uponor Thermatop M Panel 2,55x0,277m</v>
      </c>
    </row>
    <row r="67" spans="1:2">
      <c r="A67">
        <v>1039950</v>
      </c>
      <c r="B67" s="30" t="str">
        <f t="shared" si="11"/>
        <v>Uponor S-Press PLUS PPSU T 20-16-20</v>
      </c>
    </row>
    <row r="68" spans="1:2">
      <c r="A68">
        <v>1039937</v>
      </c>
      <c r="B68" s="30" t="str">
        <f t="shared" si="11"/>
        <v>Uponor S-Press PLUS PPSU szűkítő 20-16</v>
      </c>
    </row>
    <row r="69" spans="1:2">
      <c r="A69">
        <v>1039933</v>
      </c>
      <c r="B69" s="30" t="str">
        <f t="shared" si="11"/>
        <v>Uponor S-Press PLUS PPSU toldó 16-16</v>
      </c>
    </row>
    <row r="70" spans="1:2">
      <c r="A70">
        <v>1063557</v>
      </c>
      <c r="B70" s="30" t="str">
        <f t="shared" si="11"/>
        <v>Uponor Uni Pipe PLUS szigetelt ötrétegű cső S6 20x2,25 75m</v>
      </c>
    </row>
    <row r="71" spans="1:2">
      <c r="A71">
        <v>1058092</v>
      </c>
      <c r="B71" s="30" t="str">
        <f t="shared" si="11"/>
        <v>Uponor Uni-X eurokónuszos csatlakozó csavarzat 20-3/4"bm</v>
      </c>
    </row>
    <row r="72" spans="1:2">
      <c r="B72" s="30"/>
    </row>
    <row r="73" spans="1:2">
      <c r="A73" s="30" t="s">
        <v>25</v>
      </c>
      <c r="B73" s="30"/>
    </row>
    <row r="74" spans="1:2">
      <c r="A74">
        <v>1161845</v>
      </c>
      <c r="B74" s="30" t="str">
        <f t="shared" si="11"/>
        <v>Uponor Siccus Mini Panel 1200x600x15mm</v>
      </c>
    </row>
    <row r="75" spans="1:2">
      <c r="A75">
        <v>1005049</v>
      </c>
      <c r="B75" s="30" t="str">
        <f t="shared" si="11"/>
        <v xml:space="preserve">Uponor Multi fólia PE, 0,2mm, 60x1,25m 75m2 </v>
      </c>
    </row>
    <row r="76" spans="1:2">
      <c r="A76">
        <v>1005267</v>
      </c>
      <c r="B76" s="30" t="str">
        <f t="shared" si="11"/>
        <v xml:space="preserve">Uponor Minitec szegélyszigetelés 80x8 mm 20m </v>
      </c>
    </row>
    <row r="77" spans="1:2">
      <c r="A77">
        <v>1139794</v>
      </c>
      <c r="B77" s="30" t="str">
        <f t="shared" si="11"/>
        <v>Uponor Siccus Mini szegély csík 1000x45x15mm</v>
      </c>
    </row>
    <row r="78" spans="1:2">
      <c r="A78">
        <v>1063289</v>
      </c>
      <c r="B78" s="30" t="str">
        <f t="shared" si="11"/>
        <v>Uponor Minitec Comfort cső 9.9x1.1 240m</v>
      </c>
    </row>
    <row r="79" spans="1:2">
      <c r="A79">
        <v>1135490</v>
      </c>
      <c r="B79" s="30" t="str">
        <f t="shared" si="11"/>
        <v>Uponor Multi műanyag csőrögzítő ív 9,9-12</v>
      </c>
    </row>
    <row r="80" spans="1:2">
      <c r="A80">
        <v>1013426</v>
      </c>
      <c r="B80" s="30" t="str">
        <f t="shared" si="11"/>
        <v>Uponor Minitec szorítógyűrűs csavarzat 9,9×1,1-3/4"</v>
      </c>
    </row>
    <row r="81" spans="1:2">
      <c r="B81" s="30"/>
    </row>
    <row r="82" spans="1:2">
      <c r="A82" s="42" t="s">
        <v>26</v>
      </c>
      <c r="B82" s="30"/>
    </row>
    <row r="83" spans="1:2">
      <c r="A83">
        <v>1161845</v>
      </c>
      <c r="B83" s="30" t="str">
        <f t="shared" si="11"/>
        <v>Uponor Siccus Mini Panel 1200x600x15mm</v>
      </c>
    </row>
    <row r="84" spans="1:2">
      <c r="A84">
        <v>1005049</v>
      </c>
      <c r="B84" s="30" t="str">
        <f t="shared" si="11"/>
        <v xml:space="preserve">Uponor Multi fólia PE, 0,2mm, 60x1,25m 75m2 </v>
      </c>
    </row>
    <row r="85" spans="1:2">
      <c r="A85">
        <v>1005267</v>
      </c>
      <c r="B85" s="30" t="str">
        <f t="shared" si="11"/>
        <v xml:space="preserve">Uponor Minitec szegélyszigetelés 80x8 mm 20m </v>
      </c>
    </row>
    <row r="86" spans="1:2">
      <c r="A86">
        <v>1063289</v>
      </c>
      <c r="B86" s="30" t="str">
        <f t="shared" si="11"/>
        <v>Uponor Minitec Comfort cső 9.9x1.1 240m</v>
      </c>
    </row>
    <row r="87" spans="1:2">
      <c r="A87">
        <v>1135490</v>
      </c>
      <c r="B87" s="30" t="str">
        <f t="shared" si="11"/>
        <v>Uponor Multi műanyag csőrögzítő ív 9,9-12</v>
      </c>
    </row>
    <row r="88" spans="1:2">
      <c r="A88">
        <v>1013426</v>
      </c>
      <c r="B88" s="30" t="str">
        <f t="shared" si="11"/>
        <v>Uponor Minitec szorítógyűrűs csavarzat 9,9×1,1-3/4"</v>
      </c>
    </row>
    <row r="89" spans="1:2">
      <c r="B89" s="30"/>
    </row>
    <row r="90" spans="1:2">
      <c r="A90" t="s">
        <v>29</v>
      </c>
      <c r="B90" s="30"/>
    </row>
    <row r="91" spans="1:2">
      <c r="A91">
        <v>1143475</v>
      </c>
      <c r="B91" s="30" t="str">
        <f t="shared" si="11"/>
        <v>Uponor Siccus 16 rendszerlemez 1200x600x20mm</v>
      </c>
    </row>
    <row r="92" spans="1:2">
      <c r="A92">
        <v>1062045</v>
      </c>
      <c r="B92" s="30" t="str">
        <f t="shared" si="11"/>
        <v>Uponor Comfort Plus cső 16x2,0 240m</v>
      </c>
    </row>
    <row r="93" spans="1:2">
      <c r="A93">
        <v>1065284</v>
      </c>
      <c r="B93" s="30" t="str">
        <f t="shared" si="11"/>
        <v>Uponor Vario PE-Xa Eurokónuszos csavarzat 16x2,0-3/4"</v>
      </c>
    </row>
    <row r="94" spans="1:2">
      <c r="A94">
        <v>1135491</v>
      </c>
      <c r="B94" s="30" t="str">
        <f t="shared" si="11"/>
        <v>Uponor Multi műanyag csővezető ív 14-18</v>
      </c>
    </row>
    <row r="95" spans="1:2">
      <c r="B95" s="30"/>
    </row>
    <row r="96" spans="1:2">
      <c r="A96" t="s">
        <v>28</v>
      </c>
      <c r="B96" s="30"/>
    </row>
    <row r="97" spans="1:2">
      <c r="A97">
        <v>1143475</v>
      </c>
      <c r="B97" s="30" t="str">
        <f t="shared" si="11"/>
        <v>Uponor Siccus 16 rendszerlemez 1200x600x20mm</v>
      </c>
    </row>
    <row r="98" spans="1:2">
      <c r="A98">
        <v>1143476</v>
      </c>
      <c r="B98" s="30" t="str">
        <f t="shared" si="11"/>
        <v>Uponor Siccus 16 szegély csík 1000x45x19mm</v>
      </c>
    </row>
    <row r="99" spans="1:2">
      <c r="A99">
        <v>1062045</v>
      </c>
      <c r="B99" s="30" t="str">
        <f t="shared" si="11"/>
        <v>Uponor Comfort Plus cső 16x2,0 240m</v>
      </c>
    </row>
    <row r="100" spans="1:2">
      <c r="A100">
        <v>1065284</v>
      </c>
      <c r="B100" s="30" t="str">
        <f t="shared" si="11"/>
        <v>Uponor Vario PE-Xa Eurokónuszos csavarzat 16x2,0-3/4"</v>
      </c>
    </row>
    <row r="101" spans="1:2">
      <c r="A101">
        <v>1135491</v>
      </c>
      <c r="B101" s="30" t="str">
        <f t="shared" si="11"/>
        <v>Uponor Multi műanyag csővezető ív 14-18</v>
      </c>
    </row>
    <row r="102" spans="1:2">
      <c r="B102" s="30"/>
    </row>
    <row r="103" spans="1:2">
      <c r="A103" t="s">
        <v>35</v>
      </c>
      <c r="B103" s="30"/>
    </row>
    <row r="104" spans="1:2">
      <c r="A104">
        <v>1005405</v>
      </c>
      <c r="B104" s="30" t="str">
        <f t="shared" si="11"/>
        <v>Uponor Contec ON rendszerlemez</v>
      </c>
    </row>
    <row r="105" spans="1:2">
      <c r="A105">
        <v>1062884</v>
      </c>
      <c r="B105" s="30" t="str">
        <f t="shared" si="11"/>
        <v>Uponor Comfort Plus cső 14x2,0 240m</v>
      </c>
    </row>
    <row r="106" spans="1:2">
      <c r="A106">
        <v>1012860</v>
      </c>
      <c r="B106" s="30" t="str">
        <f t="shared" si="11"/>
        <v>Uponor Teck védőcső 16-os csőre 25/20 fekete 50m</v>
      </c>
    </row>
    <row r="107" spans="1:2">
      <c r="A107">
        <v>1005376</v>
      </c>
      <c r="B107" s="30" t="str">
        <f t="shared" si="11"/>
        <v>Uponor födémátvezető elem</v>
      </c>
    </row>
    <row r="108" spans="1:2">
      <c r="A108">
        <v>1020543</v>
      </c>
      <c r="B108" s="30" t="str">
        <f t="shared" si="11"/>
        <v>Uponor Comfort Plus 20×2.0 S9-es szigetelt cső 60m</v>
      </c>
    </row>
    <row r="109" spans="1:2">
      <c r="A109">
        <v>1063933</v>
      </c>
      <c r="B109" s="30" t="str">
        <f t="shared" si="11"/>
        <v>Uponor Q&amp;E réz szűkítő 20x14</v>
      </c>
    </row>
    <row r="110" spans="1:2">
      <c r="A110">
        <v>1063932</v>
      </c>
      <c r="B110" s="30" t="str">
        <f t="shared" si="11"/>
        <v>Uponor Q&amp;E réz T 20x14x20</v>
      </c>
    </row>
  </sheetData>
  <sheetProtection algorithmName="SHA-512" hashValue="ZLpHyzAyBiKM2WIbneiHVCWXTZAhjO2a1SyJagkB5bI3b8Wt9FXajwpdZhIhQLY/WOwZoGx8iRtjtoHx65i0iQ==" saltValue="xW0IoNOSqvEHCYV+tDNubA==" spinCount="100000" sheet="1" formatCells="0" formatColumns="0" formatRows="0" insertColumns="0" insertRows="0" insertHyperlinks="0" deleteColumns="0" deleteRows="0" sort="0" autoFilter="0" pivotTables="0"/>
  <conditionalFormatting sqref="N38:N46">
    <cfRule type="cellIs" dxfId="0" priority="1" stopIfTrue="1" operator="greaterThan">
      <formula>0</formula>
    </cfRule>
  </conditionalFormatting>
  <pageMargins left="0.7" right="0.7" top="0.75" bottom="0.75" header="0.3" footer="0.3"/>
  <headerFooter>
    <oddHeader>&amp;C&amp;"Arial"&amp;8&amp;KFF0000 INTERNAL &amp;1#_x000D_</oddHeader>
  </headerFooter>
</worksheet>
</file>

<file path=docMetadata/LabelInfo.xml><?xml version="1.0" encoding="utf-8"?>
<clbl:labelList xmlns:clbl="http://schemas.microsoft.com/office/2020/mipLabelMetadata">
  <clbl:label id="{8f8ff0ba-2c7f-4933-9c1e-ebae2a04b3e3}" enabled="1" method="Standard" siteId="{d0f5c1a2-e9a8-44ff-a1cc-b094c39a84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Georg Fischer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Juhász, Balázs</dc:creator>
  <cp:keywords/>
  <dc:description/>
  <cp:lastModifiedBy/>
  <cp:revision/>
  <dcterms:created xsi:type="dcterms:W3CDTF">2026-04-10T07:58:25Z</dcterms:created>
  <dcterms:modified xsi:type="dcterms:W3CDTF">2026-04-14T21:08:56Z</dcterms:modified>
  <cp:category/>
  <cp:contentStatus/>
</cp:coreProperties>
</file>